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chartsheets/sheet1.xml" ContentType="application/vnd.openxmlformats-officedocument.spreadsheetml.chartsheet+xml"/>
  <Override PartName="/xl/chartsheets/sheet2.xml" ContentType="application/vnd.openxmlformats-officedocument.spreadsheetml.chart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3.xml" ContentType="application/vnd.openxmlformats-officedocument.drawing+xml"/>
  <Override PartName="/xl/drawings/drawing4.xml" ContentType="application/vnd.openxmlformats-officedocument.drawing+xml"/>
  <Override PartName="/xl/charts/chart2.xml" ContentType="application/vnd.openxmlformats-officedocument.drawingml.chart+xml"/>
  <Override PartName="/xl/drawings/drawing5.xml" ContentType="application/vnd.openxmlformats-officedocument.drawing+xml"/>
  <Override PartName="/xl/charts/chart3.xml" ContentType="application/vnd.openxmlformats-officedocument.drawingml.chart+xml"/>
  <Override PartName="/xl/drawings/drawing6.xml" ContentType="application/vnd.openxmlformats-officedocument.drawing+xml"/>
  <Override PartName="/xl/charts/chart4.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codeName="ThisWorkbook" defaultThemeVersion="166925"/>
  <mc:AlternateContent xmlns:mc="http://schemas.openxmlformats.org/markup-compatibility/2006">
    <mc:Choice Requires="x15">
      <x15ac:absPath xmlns:x15ac="http://schemas.microsoft.com/office/spreadsheetml/2010/11/ac" url="C:\Python\marketing\ExcelExample\"/>
    </mc:Choice>
  </mc:AlternateContent>
  <xr:revisionPtr revIDLastSave="0" documentId="13_ncr:1_{36C019AB-2F45-4311-B09A-2F87069831F7}" xr6:coauthVersionLast="47" xr6:coauthVersionMax="47" xr10:uidLastSave="{00000000-0000-0000-0000-000000000000}"/>
  <bookViews>
    <workbookView xWindow="-110" yWindow="-110" windowWidth="19420" windowHeight="10420" activeTab="1" xr2:uid="{00000000-000D-0000-FFFF-FFFF00000000}"/>
  </bookViews>
  <sheets>
    <sheet name="Overview" sheetId="15" r:id="rId1"/>
    <sheet name="ADBUDG Model" sheetId="14" r:id="rId2"/>
    <sheet name="Introduction" sheetId="1" r:id="rId3"/>
    <sheet name="Calibration" sheetId="2" r:id="rId4"/>
    <sheet name="Forecasting" sheetId="11" r:id="rId5"/>
    <sheet name="Advertising and Share" sheetId="12" r:id="rId6"/>
    <sheet name="Contribution" sheetId="13" r:id="rId7"/>
    <sheet name="ME_value-in-use_hidden" sheetId="3" state="hidden" r:id="rId8"/>
  </sheets>
  <externalReferences>
    <externalReference r:id="rId9"/>
  </externalReferences>
  <definedNames>
    <definedName name="A_upperBound">'ADBUDG Model'!$H$2</definedName>
    <definedName name="AvePrice" localSheetId="4">Forecasting!$BD$31</definedName>
    <definedName name="B_LowerBound">'ADBUDG Model'!$H$3</definedName>
    <definedName name="c_" localSheetId="4">Forecasting!$AZ$43</definedName>
    <definedName name="C_S_Shape">'ADBUDG Model'!$H$4</definedName>
    <definedName name="Contribution" localSheetId="4">Forecasting!$BD$30</definedName>
    <definedName name="Copy" localSheetId="4">Forecasting!$BD$27</definedName>
    <definedName name="CPP">'ME_value-in-use_hidden'!$B$15</definedName>
    <definedName name="d" localSheetId="4">Forecasting!$AZ$42</definedName>
    <definedName name="d_rate">'ME_value-in-use_hidden'!$B$9</definedName>
    <definedName name="DMULT">'ME_value-in-use_hidden'!$G$6</definedName>
    <definedName name="growth">'ME_value-in-use_hidden'!$B$12</definedName>
    <definedName name="listNameInd">[1]wshDia!$J$2</definedName>
    <definedName name="LRMin">Forecasting!$BD$26</definedName>
    <definedName name="Max" localSheetId="4">Forecasting!$BD$23</definedName>
    <definedName name="MCOST">'ME_value-in-use_hidden'!$B$14</definedName>
    <definedName name="Media" localSheetId="4">Forecasting!$BD$28</definedName>
    <definedName name="Min" localSheetId="4">Forecasting!$BD$25</definedName>
    <definedName name="MPRICE">'ME_value-in-use_hidden'!$B$6</definedName>
    <definedName name="N_years">'ME_value-in-use_hidden'!$B$13</definedName>
    <definedName name="new_ppp">'ME_value-in-use_hidden'!$B$17</definedName>
    <definedName name="new_ppp_inc">'ME_value-in-use_hidden'!$B$10</definedName>
    <definedName name="Old_ppp">'ME_value-in-use_hidden'!$B$18</definedName>
    <definedName name="Old_ppp_inc">'ME_value-in-use_hidden'!$B$11</definedName>
    <definedName name="Persistence" localSheetId="4">Forecasting!$AZ$37</definedName>
    <definedName name="Previous">Forecasting!#REF!</definedName>
    <definedName name="Price" localSheetId="4">Forecasting!$BD$29</definedName>
    <definedName name="Sales" localSheetId="4">Forecasting!$BD$34</definedName>
    <definedName name="solver_adj" localSheetId="3" hidden="1">Calibration!$D$15:$D$16</definedName>
    <definedName name="solver_adj" localSheetId="4" hidden="1">Forecasting!$C$17:$C$28</definedName>
    <definedName name="solver_cvg" localSheetId="3" hidden="1">0.0001</definedName>
    <definedName name="solver_cvg" localSheetId="4" hidden="1">0.0000001</definedName>
    <definedName name="solver_drv" localSheetId="3" hidden="1">1</definedName>
    <definedName name="solver_drv" localSheetId="4" hidden="1">1</definedName>
    <definedName name="solver_est" localSheetId="3" hidden="1">1</definedName>
    <definedName name="solver_est" localSheetId="4" hidden="1">1</definedName>
    <definedName name="solver_itr" localSheetId="3" hidden="1">100</definedName>
    <definedName name="solver_itr" localSheetId="4" hidden="1">100</definedName>
    <definedName name="solver_lhs1" localSheetId="3" hidden="1">Calibration!#REF!</definedName>
    <definedName name="solver_lhs1" localSheetId="4" hidden="1">Forecasting!$C$17:$C$28</definedName>
    <definedName name="solver_lhs2" localSheetId="3" hidden="1">Calibration!#REF!</definedName>
    <definedName name="solver_lhs2" localSheetId="4" hidden="1">Forecasting!$D$24</definedName>
    <definedName name="solver_lhs3" localSheetId="3" hidden="1">Calibration!#REF!</definedName>
    <definedName name="solver_lhs3" localSheetId="4" hidden="1">Forecasting!$D$20</definedName>
    <definedName name="solver_lhs4" localSheetId="3" hidden="1">Calibration!#REF!</definedName>
    <definedName name="solver_lhs4" localSheetId="4" hidden="1">Forecasting!$D$28</definedName>
    <definedName name="solver_lin" localSheetId="3" hidden="1">2</definedName>
    <definedName name="solver_lin" localSheetId="4" hidden="1">2</definedName>
    <definedName name="solver_neg" localSheetId="3" hidden="1">2</definedName>
    <definedName name="solver_neg" localSheetId="4" hidden="1">2</definedName>
    <definedName name="solver_num" localSheetId="3" hidden="1">0</definedName>
    <definedName name="solver_num" localSheetId="4" hidden="1">4</definedName>
    <definedName name="solver_nwt" localSheetId="3" hidden="1">1</definedName>
    <definedName name="solver_nwt" localSheetId="4" hidden="1">1</definedName>
    <definedName name="solver_opt" localSheetId="3" hidden="1">Calibration!$D$14</definedName>
    <definedName name="solver_opt" localSheetId="4" hidden="1">Forecasting!$H$34</definedName>
    <definedName name="solver_pre" localSheetId="3" hidden="1">0.000001</definedName>
    <definedName name="solver_pre" localSheetId="4" hidden="1">0.000001</definedName>
    <definedName name="solver_rel1" localSheetId="3" hidden="1">3</definedName>
    <definedName name="solver_rel1" localSheetId="4" hidden="1">3</definedName>
    <definedName name="solver_rel2" localSheetId="3" hidden="1">3</definedName>
    <definedName name="solver_rel2" localSheetId="4" hidden="1">1</definedName>
    <definedName name="solver_rel3" localSheetId="3" hidden="1">3</definedName>
    <definedName name="solver_rel3" localSheetId="4" hidden="1">1</definedName>
    <definedName name="solver_rel4" localSheetId="3" hidden="1">1</definedName>
    <definedName name="solver_rel4" localSheetId="4" hidden="1">1</definedName>
    <definedName name="solver_rhs1" localSheetId="3" hidden="1">0</definedName>
    <definedName name="solver_rhs1" localSheetId="4" hidden="1">0</definedName>
    <definedName name="solver_rhs2" localSheetId="3" hidden="1">0</definedName>
    <definedName name="solver_rhs2" localSheetId="4" hidden="1">10</definedName>
    <definedName name="solver_rhs3" localSheetId="3" hidden="1">0</definedName>
    <definedName name="solver_rhs3" localSheetId="4" hidden="1">10</definedName>
    <definedName name="solver_rhs4" localSheetId="3" hidden="1">400000</definedName>
    <definedName name="solver_rhs4" localSheetId="4" hidden="1">10</definedName>
    <definedName name="solver_scl" localSheetId="3" hidden="1">2</definedName>
    <definedName name="solver_scl" localSheetId="4" hidden="1">2</definedName>
    <definedName name="solver_sho" localSheetId="3" hidden="1">2</definedName>
    <definedName name="solver_sho" localSheetId="4" hidden="1">2</definedName>
    <definedName name="solver_tim" localSheetId="3" hidden="1">100</definedName>
    <definedName name="solver_tim" localSheetId="4" hidden="1">100</definedName>
    <definedName name="solver_tol" localSheetId="3" hidden="1">0.05</definedName>
    <definedName name="solver_tol" localSheetId="4" hidden="1">0.05</definedName>
    <definedName name="solver_typ" localSheetId="3" hidden="1">2</definedName>
    <definedName name="solver_typ" localSheetId="4" hidden="1">1</definedName>
    <definedName name="solver_val" localSheetId="3" hidden="1">0</definedName>
    <definedName name="solver_val" localSheetId="4" hidden="1">0</definedName>
    <definedName name="SV_New">'ME_value-in-use_hidden'!$B$7</definedName>
    <definedName name="SV_Old">'ME_value-in-use_hidden'!$B$8</definedName>
  </definedNames>
  <calcPr calcId="191029" calcMode="autoNoTable"/>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39" i="3" l="1"/>
  <c r="B6" i="3"/>
  <c r="I19" i="3" s="1"/>
  <c r="B13" i="14"/>
  <c r="B14" i="14"/>
  <c r="B15" i="14"/>
  <c r="B16" i="14"/>
  <c r="B17" i="14"/>
  <c r="B18" i="14"/>
  <c r="B19" i="14"/>
  <c r="B20" i="14"/>
  <c r="B21" i="14"/>
  <c r="B22" i="14"/>
  <c r="B23" i="14"/>
  <c r="B24" i="14"/>
  <c r="B25" i="14"/>
  <c r="B26" i="14"/>
  <c r="B27" i="14"/>
  <c r="B28" i="14"/>
  <c r="B29" i="14"/>
  <c r="B30" i="14"/>
  <c r="B31" i="14"/>
  <c r="B32" i="14"/>
  <c r="B33" i="14"/>
  <c r="B34" i="14"/>
  <c r="B35" i="14"/>
  <c r="B36" i="14"/>
  <c r="B37" i="14"/>
  <c r="B38" i="14"/>
  <c r="B39" i="14"/>
  <c r="B40" i="14"/>
  <c r="B41" i="14"/>
  <c r="B42" i="14"/>
  <c r="B43" i="14"/>
  <c r="B44" i="14"/>
  <c r="B45" i="14"/>
  <c r="B46" i="14"/>
  <c r="B47" i="14"/>
  <c r="B48" i="14"/>
  <c r="B49" i="14"/>
  <c r="B50" i="14"/>
  <c r="B51" i="14"/>
  <c r="B52" i="14"/>
  <c r="B53" i="14"/>
  <c r="B54" i="14"/>
  <c r="B55" i="14"/>
  <c r="B56" i="14"/>
  <c r="B57" i="14"/>
  <c r="B58" i="14"/>
  <c r="B59" i="14"/>
  <c r="B60" i="14"/>
  <c r="B61" i="14"/>
  <c r="B62" i="14"/>
  <c r="B63" i="14"/>
  <c r="B64" i="14"/>
  <c r="B65" i="14"/>
  <c r="B66" i="14"/>
  <c r="B67" i="14"/>
  <c r="B68" i="14"/>
  <c r="B69" i="14"/>
  <c r="B70" i="14"/>
  <c r="B71" i="14"/>
  <c r="B72" i="14"/>
  <c r="B73" i="14"/>
  <c r="B74" i="14"/>
  <c r="B75" i="14"/>
  <c r="B76" i="14"/>
  <c r="B77" i="14"/>
  <c r="B78" i="14"/>
  <c r="B79" i="14"/>
  <c r="B80" i="14"/>
  <c r="B81" i="14"/>
  <c r="B82" i="14"/>
  <c r="B83" i="14"/>
  <c r="B84" i="14"/>
  <c r="B85" i="14"/>
  <c r="B86" i="14"/>
  <c r="B87" i="14"/>
  <c r="B88" i="14"/>
  <c r="B89" i="14"/>
  <c r="B90" i="14"/>
  <c r="B91" i="14"/>
  <c r="B92" i="14"/>
  <c r="B93" i="14"/>
  <c r="B94" i="14"/>
  <c r="B95" i="14"/>
  <c r="B96" i="14"/>
  <c r="B97" i="14"/>
  <c r="B98" i="14"/>
  <c r="B99" i="14"/>
  <c r="B100" i="14"/>
  <c r="B101" i="14"/>
  <c r="B102" i="14"/>
  <c r="B103" i="14"/>
  <c r="B104" i="14"/>
  <c r="B105" i="14"/>
  <c r="B106" i="14"/>
  <c r="B107" i="14"/>
  <c r="B108" i="14"/>
  <c r="B109" i="14"/>
  <c r="B110" i="14"/>
  <c r="B111" i="14"/>
  <c r="B112" i="14"/>
  <c r="B113" i="14"/>
  <c r="B114" i="14"/>
  <c r="B115" i="14"/>
  <c r="B116" i="14"/>
  <c r="B117" i="14"/>
  <c r="B118" i="14"/>
  <c r="B119" i="14"/>
  <c r="B120" i="14"/>
  <c r="B121" i="14"/>
  <c r="B122" i="14"/>
  <c r="B123" i="14"/>
  <c r="B124" i="14"/>
  <c r="B125" i="14"/>
  <c r="B126" i="14"/>
  <c r="B127" i="14"/>
  <c r="B128" i="14"/>
  <c r="B129" i="14"/>
  <c r="B130" i="14"/>
  <c r="B131" i="14"/>
  <c r="B132" i="14"/>
  <c r="B133" i="14"/>
  <c r="B134" i="14"/>
  <c r="B135" i="14"/>
  <c r="B136" i="14"/>
  <c r="B137" i="14"/>
  <c r="B138" i="14"/>
  <c r="B139" i="14"/>
  <c r="B140" i="14"/>
  <c r="B12" i="14"/>
  <c r="B17" i="3"/>
  <c r="C34" i="2"/>
  <c r="C33" i="2"/>
  <c r="J17" i="11"/>
  <c r="J18" i="11" s="1"/>
  <c r="K18" i="11" s="1"/>
  <c r="J19" i="11"/>
  <c r="K19" i="11" s="1"/>
  <c r="J20" i="11"/>
  <c r="F37" i="11"/>
  <c r="F36" i="11"/>
  <c r="F35" i="11"/>
  <c r="F34" i="11"/>
  <c r="F17" i="11"/>
  <c r="G16" i="11"/>
  <c r="E17" i="11"/>
  <c r="E18" i="11"/>
  <c r="F18" i="11"/>
  <c r="E19" i="11"/>
  <c r="F19" i="11"/>
  <c r="E20" i="11"/>
  <c r="F20" i="11"/>
  <c r="E21" i="11"/>
  <c r="F21" i="11"/>
  <c r="E22" i="11"/>
  <c r="F22" i="11"/>
  <c r="E23" i="11"/>
  <c r="F23" i="11"/>
  <c r="E24" i="11"/>
  <c r="F24" i="11"/>
  <c r="E25" i="11"/>
  <c r="F25" i="11"/>
  <c r="E26" i="11"/>
  <c r="F26" i="11"/>
  <c r="E27" i="11"/>
  <c r="F27" i="11"/>
  <c r="E28" i="11"/>
  <c r="F28" i="11"/>
  <c r="K17" i="11"/>
  <c r="D28" i="11"/>
  <c r="D24" i="11"/>
  <c r="D20" i="11"/>
  <c r="B31" i="2"/>
  <c r="C31" i="2" s="1"/>
  <c r="D14" i="2" s="1"/>
  <c r="B32" i="2"/>
  <c r="C32" i="2" s="1"/>
  <c r="C26" i="2"/>
  <c r="B36" i="2"/>
  <c r="C36" i="2" s="1"/>
  <c r="B35" i="2"/>
  <c r="C35" i="2" s="1"/>
  <c r="B34" i="2"/>
  <c r="B33" i="2"/>
  <c r="B30" i="2"/>
  <c r="C30" i="2" s="1"/>
  <c r="B29" i="2"/>
  <c r="C29" i="2" s="1"/>
  <c r="B28" i="2"/>
  <c r="C28" i="2" s="1"/>
  <c r="B27" i="2"/>
  <c r="C27" i="2" s="1"/>
  <c r="C37" i="2"/>
  <c r="H12" i="2"/>
  <c r="D17" i="2" s="1"/>
  <c r="B16" i="3"/>
  <c r="G39" i="3"/>
  <c r="B18" i="3"/>
  <c r="H39" i="3" s="1"/>
  <c r="B8" i="3"/>
  <c r="B13" i="3"/>
  <c r="B9" i="3"/>
  <c r="G6" i="3"/>
  <c r="B10" i="3"/>
  <c r="B12" i="3"/>
  <c r="B11" i="3"/>
  <c r="E41" i="3"/>
  <c r="H41" i="3" s="1"/>
  <c r="E42" i="3"/>
  <c r="E46" i="3"/>
  <c r="J46" i="3"/>
  <c r="B7" i="3"/>
  <c r="B15" i="3"/>
  <c r="B14" i="3"/>
  <c r="L46" i="3"/>
  <c r="E51" i="3"/>
  <c r="F51" i="3"/>
  <c r="J51" i="3"/>
  <c r="K51" i="3"/>
  <c r="M51" i="3"/>
  <c r="E53" i="3"/>
  <c r="H53" i="3" s="1"/>
  <c r="I53" i="3"/>
  <c r="M53" i="3"/>
  <c r="E56" i="3"/>
  <c r="H56" i="3"/>
  <c r="I56" i="3"/>
  <c r="J56" i="3"/>
  <c r="M56" i="3"/>
  <c r="E57" i="3"/>
  <c r="G57" i="3" s="1"/>
  <c r="I57" i="3"/>
  <c r="L57" i="3"/>
  <c r="E59" i="3"/>
  <c r="M59" i="3" s="1"/>
  <c r="E60" i="3"/>
  <c r="F60" i="3"/>
  <c r="I60" i="3"/>
  <c r="J60" i="3"/>
  <c r="L60" i="3"/>
  <c r="E61" i="3"/>
  <c r="G61" i="3" s="1"/>
  <c r="H61" i="3"/>
  <c r="L61" i="3"/>
  <c r="E63" i="3"/>
  <c r="E64" i="3"/>
  <c r="G64" i="3"/>
  <c r="I64" i="3"/>
  <c r="K64" i="3"/>
  <c r="L64" i="3"/>
  <c r="E66" i="3"/>
  <c r="E67" i="3"/>
  <c r="F67" i="3"/>
  <c r="I67" i="3"/>
  <c r="J67" i="3"/>
  <c r="L67" i="3"/>
  <c r="E68" i="3"/>
  <c r="G68" i="3" s="1"/>
  <c r="H68" i="3"/>
  <c r="K68" i="3"/>
  <c r="M68" i="3"/>
  <c r="E70" i="3"/>
  <c r="F70" i="3"/>
  <c r="I70" i="3"/>
  <c r="J70" i="3"/>
  <c r="K70" i="3"/>
  <c r="E71" i="3"/>
  <c r="H71" i="3" s="1"/>
  <c r="J71" i="3"/>
  <c r="M71" i="3"/>
  <c r="E72" i="3"/>
  <c r="G72" i="3"/>
  <c r="H72" i="3"/>
  <c r="I72" i="3"/>
  <c r="K72" i="3"/>
  <c r="L72" i="3"/>
  <c r="M72" i="3"/>
  <c r="E74" i="3"/>
  <c r="G74" i="3"/>
  <c r="E75" i="3"/>
  <c r="F75" i="3"/>
  <c r="H75" i="3"/>
  <c r="I75" i="3"/>
  <c r="J75" i="3"/>
  <c r="L75" i="3"/>
  <c r="M75" i="3"/>
  <c r="E76" i="3"/>
  <c r="H76" i="3"/>
  <c r="K76" i="3"/>
  <c r="M76" i="3"/>
  <c r="E78" i="3"/>
  <c r="F78" i="3"/>
  <c r="G78" i="3"/>
  <c r="I78" i="3"/>
  <c r="J78" i="3"/>
  <c r="K78" i="3"/>
  <c r="M78" i="3"/>
  <c r="E79" i="3"/>
  <c r="J79" i="3" s="1"/>
  <c r="E80" i="3"/>
  <c r="G80" i="3" s="1"/>
  <c r="F80" i="3"/>
  <c r="H80" i="3"/>
  <c r="I80" i="3"/>
  <c r="J80" i="3"/>
  <c r="L80" i="3"/>
  <c r="M80" i="3"/>
  <c r="E81" i="3"/>
  <c r="G81" i="3"/>
  <c r="M81" i="3"/>
  <c r="E82" i="3"/>
  <c r="F82" i="3"/>
  <c r="G82" i="3"/>
  <c r="H82" i="3"/>
  <c r="I82" i="3"/>
  <c r="J82" i="3"/>
  <c r="K82" i="3"/>
  <c r="L82" i="3"/>
  <c r="M82" i="3"/>
  <c r="E83" i="3"/>
  <c r="G83" i="3" s="1"/>
  <c r="I83" i="3"/>
  <c r="K83" i="3"/>
  <c r="M83" i="3"/>
  <c r="E84" i="3"/>
  <c r="G84" i="3" s="1"/>
  <c r="F84" i="3"/>
  <c r="H84" i="3"/>
  <c r="I84" i="3"/>
  <c r="J84" i="3"/>
  <c r="L84" i="3"/>
  <c r="M84" i="3"/>
  <c r="E85" i="3"/>
  <c r="G85" i="3" s="1"/>
  <c r="I85" i="3"/>
  <c r="K85" i="3"/>
  <c r="M85" i="3"/>
  <c r="E86" i="3"/>
  <c r="F86" i="3"/>
  <c r="G86" i="3"/>
  <c r="H86" i="3"/>
  <c r="I86" i="3"/>
  <c r="J86" i="3"/>
  <c r="K86" i="3"/>
  <c r="L86" i="3"/>
  <c r="M86" i="3"/>
  <c r="E87" i="3"/>
  <c r="G87" i="3"/>
  <c r="E88" i="3"/>
  <c r="G88" i="3" s="1"/>
  <c r="F88" i="3"/>
  <c r="H88" i="3"/>
  <c r="I88" i="3"/>
  <c r="J88" i="3"/>
  <c r="L88" i="3"/>
  <c r="M88" i="3"/>
  <c r="E89" i="3"/>
  <c r="K89" i="3" s="1"/>
  <c r="G89" i="3"/>
  <c r="E90" i="3"/>
  <c r="F90" i="3"/>
  <c r="G90" i="3"/>
  <c r="H90" i="3"/>
  <c r="I90" i="3"/>
  <c r="J90" i="3"/>
  <c r="K90" i="3"/>
  <c r="L90" i="3"/>
  <c r="M90" i="3"/>
  <c r="E91" i="3"/>
  <c r="G91" i="3" s="1"/>
  <c r="I91" i="3"/>
  <c r="K91" i="3"/>
  <c r="M91" i="3"/>
  <c r="E92" i="3"/>
  <c r="G92" i="3" s="1"/>
  <c r="F92" i="3"/>
  <c r="H92" i="3"/>
  <c r="I92" i="3"/>
  <c r="J92" i="3"/>
  <c r="L92" i="3"/>
  <c r="M92" i="3"/>
  <c r="E93" i="3"/>
  <c r="G93" i="3" s="1"/>
  <c r="I93" i="3"/>
  <c r="K93" i="3"/>
  <c r="M93" i="3"/>
  <c r="E94" i="3"/>
  <c r="F94" i="3"/>
  <c r="G94" i="3"/>
  <c r="H94" i="3"/>
  <c r="I94" i="3"/>
  <c r="J94" i="3"/>
  <c r="K94" i="3"/>
  <c r="L94" i="3"/>
  <c r="M94" i="3"/>
  <c r="E95" i="3"/>
  <c r="K95" i="3" s="1"/>
  <c r="G95" i="3"/>
  <c r="E96" i="3"/>
  <c r="G96" i="3" s="1"/>
  <c r="F96" i="3"/>
  <c r="H96" i="3"/>
  <c r="I96" i="3"/>
  <c r="J96" i="3"/>
  <c r="L96" i="3"/>
  <c r="M96" i="3"/>
  <c r="E97" i="3"/>
  <c r="G97" i="3"/>
  <c r="E98" i="3"/>
  <c r="F98" i="3"/>
  <c r="G98" i="3"/>
  <c r="H98" i="3"/>
  <c r="I98" i="3"/>
  <c r="J98" i="3"/>
  <c r="K98" i="3"/>
  <c r="L98" i="3"/>
  <c r="M98" i="3"/>
  <c r="E99" i="3"/>
  <c r="G99" i="3" s="1"/>
  <c r="I99" i="3"/>
  <c r="K99" i="3"/>
  <c r="M99" i="3"/>
  <c r="E100" i="3"/>
  <c r="G100" i="3" s="1"/>
  <c r="F100" i="3"/>
  <c r="H100" i="3"/>
  <c r="I100" i="3"/>
  <c r="J100" i="3"/>
  <c r="L100" i="3"/>
  <c r="M100" i="3"/>
  <c r="E101" i="3"/>
  <c r="G101" i="3" s="1"/>
  <c r="I101" i="3"/>
  <c r="K101" i="3"/>
  <c r="M101" i="3"/>
  <c r="E102" i="3"/>
  <c r="F102" i="3"/>
  <c r="G102" i="3"/>
  <c r="H102" i="3"/>
  <c r="I102" i="3"/>
  <c r="J102" i="3"/>
  <c r="K102" i="3"/>
  <c r="L102" i="3"/>
  <c r="M102" i="3"/>
  <c r="E103" i="3"/>
  <c r="G103" i="3"/>
  <c r="E104" i="3"/>
  <c r="G104" i="3" s="1"/>
  <c r="F104" i="3"/>
  <c r="H104" i="3"/>
  <c r="I104" i="3"/>
  <c r="J104" i="3"/>
  <c r="L104" i="3"/>
  <c r="M104" i="3"/>
  <c r="E105" i="3"/>
  <c r="K105" i="3" s="1"/>
  <c r="G105" i="3"/>
  <c r="M105" i="3"/>
  <c r="E106" i="3"/>
  <c r="F106" i="3"/>
  <c r="G106" i="3"/>
  <c r="H106" i="3"/>
  <c r="I106" i="3"/>
  <c r="J106" i="3"/>
  <c r="K106" i="3"/>
  <c r="L106" i="3"/>
  <c r="M106" i="3"/>
  <c r="E107" i="3"/>
  <c r="G107" i="3" s="1"/>
  <c r="I107" i="3"/>
  <c r="K107" i="3"/>
  <c r="M107" i="3"/>
  <c r="E108" i="3"/>
  <c r="G108" i="3" s="1"/>
  <c r="F108" i="3"/>
  <c r="H108" i="3"/>
  <c r="I108" i="3"/>
  <c r="J108" i="3"/>
  <c r="L108" i="3"/>
  <c r="M108" i="3"/>
  <c r="B19" i="3"/>
  <c r="F24" i="3"/>
  <c r="F25" i="3" s="1"/>
  <c r="F26" i="3" s="1"/>
  <c r="F27" i="3" s="1"/>
  <c r="F28" i="3" s="1"/>
  <c r="F29" i="3" s="1"/>
  <c r="F30" i="3" s="1"/>
  <c r="F31" i="3" s="1"/>
  <c r="F32" i="3" s="1"/>
  <c r="F33" i="3" s="1"/>
  <c r="B20" i="3"/>
  <c r="B21" i="3"/>
  <c r="F10" i="3"/>
  <c r="F11" i="3" s="1"/>
  <c r="F12" i="3" s="1"/>
  <c r="F13" i="3" s="1"/>
  <c r="F14" i="3" s="1"/>
  <c r="F15" i="3" s="1"/>
  <c r="F16" i="3" s="1"/>
  <c r="F17" i="3" s="1"/>
  <c r="F18" i="3" s="1"/>
  <c r="F19" i="3" s="1"/>
  <c r="B22" i="3"/>
  <c r="J14" i="3" l="1"/>
  <c r="J15" i="3"/>
  <c r="J10" i="3"/>
  <c r="I14" i="3"/>
  <c r="J17" i="3"/>
  <c r="I11" i="3"/>
  <c r="J13" i="3"/>
  <c r="I18" i="3"/>
  <c r="I15" i="3"/>
  <c r="J18" i="3"/>
  <c r="I17" i="3"/>
  <c r="I13" i="3"/>
  <c r="J11" i="3"/>
  <c r="J16" i="3"/>
  <c r="J12" i="3"/>
  <c r="L39" i="3"/>
  <c r="L35" i="3" s="1"/>
  <c r="I10" i="3"/>
  <c r="I16" i="3"/>
  <c r="I12" i="3"/>
  <c r="J19" i="3"/>
  <c r="G63" i="3"/>
  <c r="K63" i="3"/>
  <c r="F63" i="3"/>
  <c r="L63" i="3"/>
  <c r="H63" i="3"/>
  <c r="M63" i="3"/>
  <c r="I63" i="3"/>
  <c r="H103" i="3"/>
  <c r="L103" i="3"/>
  <c r="F103" i="3"/>
  <c r="J103" i="3"/>
  <c r="F97" i="3"/>
  <c r="J97" i="3"/>
  <c r="H97" i="3"/>
  <c r="L97" i="3"/>
  <c r="M95" i="3"/>
  <c r="M89" i="3"/>
  <c r="H87" i="3"/>
  <c r="L87" i="3"/>
  <c r="F87" i="3"/>
  <c r="J87" i="3"/>
  <c r="F81" i="3"/>
  <c r="J81" i="3"/>
  <c r="H81" i="3"/>
  <c r="L81" i="3"/>
  <c r="M79" i="3"/>
  <c r="H74" i="3"/>
  <c r="L74" i="3"/>
  <c r="I74" i="3"/>
  <c r="F74" i="3"/>
  <c r="K74" i="3"/>
  <c r="K103" i="3"/>
  <c r="K97" i="3"/>
  <c r="K87" i="3"/>
  <c r="K81" i="3"/>
  <c r="F76" i="3"/>
  <c r="J76" i="3"/>
  <c r="G76" i="3"/>
  <c r="L76" i="3"/>
  <c r="I76" i="3"/>
  <c r="M74" i="3"/>
  <c r="G79" i="3"/>
  <c r="K79" i="3"/>
  <c r="F79" i="3"/>
  <c r="L79" i="3"/>
  <c r="I79" i="3"/>
  <c r="H66" i="3"/>
  <c r="L66" i="3"/>
  <c r="F66" i="3"/>
  <c r="K66" i="3"/>
  <c r="G66" i="3"/>
  <c r="M66" i="3"/>
  <c r="I66" i="3"/>
  <c r="F105" i="3"/>
  <c r="J105" i="3"/>
  <c r="H105" i="3"/>
  <c r="L105" i="3"/>
  <c r="M103" i="3"/>
  <c r="M97" i="3"/>
  <c r="H95" i="3"/>
  <c r="L95" i="3"/>
  <c r="F95" i="3"/>
  <c r="J95" i="3"/>
  <c r="F89" i="3"/>
  <c r="J89" i="3"/>
  <c r="H89" i="3"/>
  <c r="L89" i="3"/>
  <c r="M87" i="3"/>
  <c r="H107" i="3"/>
  <c r="L107" i="3"/>
  <c r="F107" i="3"/>
  <c r="J107" i="3"/>
  <c r="I105" i="3"/>
  <c r="I103" i="3"/>
  <c r="F101" i="3"/>
  <c r="J101" i="3"/>
  <c r="H101" i="3"/>
  <c r="L101" i="3"/>
  <c r="H99" i="3"/>
  <c r="L99" i="3"/>
  <c r="F99" i="3"/>
  <c r="J99" i="3"/>
  <c r="I97" i="3"/>
  <c r="I95" i="3"/>
  <c r="F93" i="3"/>
  <c r="J93" i="3"/>
  <c r="H93" i="3"/>
  <c r="L93" i="3"/>
  <c r="H91" i="3"/>
  <c r="L91" i="3"/>
  <c r="F91" i="3"/>
  <c r="J91" i="3"/>
  <c r="I89" i="3"/>
  <c r="I87" i="3"/>
  <c r="F85" i="3"/>
  <c r="J85" i="3"/>
  <c r="H85" i="3"/>
  <c r="L85" i="3"/>
  <c r="H83" i="3"/>
  <c r="L83" i="3"/>
  <c r="F83" i="3"/>
  <c r="J83" i="3"/>
  <c r="I81" i="3"/>
  <c r="H79" i="3"/>
  <c r="J74" i="3"/>
  <c r="G71" i="3"/>
  <c r="K71" i="3"/>
  <c r="I71" i="3"/>
  <c r="F71" i="3"/>
  <c r="L71" i="3"/>
  <c r="J66" i="3"/>
  <c r="J63" i="3"/>
  <c r="H59" i="3"/>
  <c r="L59" i="3"/>
  <c r="F59" i="3"/>
  <c r="K59" i="3"/>
  <c r="G59" i="3"/>
  <c r="I59" i="3"/>
  <c r="J59" i="3"/>
  <c r="H42" i="3"/>
  <c r="G42" i="3"/>
  <c r="K42" i="3"/>
  <c r="F42" i="3"/>
  <c r="H70" i="3"/>
  <c r="L70" i="3"/>
  <c r="L68" i="3"/>
  <c r="G67" i="3"/>
  <c r="K67" i="3"/>
  <c r="F64" i="3"/>
  <c r="J64" i="3"/>
  <c r="M61" i="3"/>
  <c r="H51" i="3"/>
  <c r="L51" i="3"/>
  <c r="I51" i="3"/>
  <c r="I46" i="3"/>
  <c r="H46" i="3"/>
  <c r="K46" i="3"/>
  <c r="G46" i="3"/>
  <c r="M46" i="3"/>
  <c r="J39" i="3"/>
  <c r="G41" i="3"/>
  <c r="K41" i="3"/>
  <c r="I41" i="3"/>
  <c r="F41" i="3"/>
  <c r="M41" i="3"/>
  <c r="J41" i="3"/>
  <c r="L41" i="3"/>
  <c r="E40" i="3"/>
  <c r="E43" i="3"/>
  <c r="E47" i="3"/>
  <c r="E39" i="3"/>
  <c r="F39" i="3" s="1"/>
  <c r="E44" i="3"/>
  <c r="E48" i="3"/>
  <c r="E50" i="3"/>
  <c r="E54" i="3"/>
  <c r="E58" i="3"/>
  <c r="E62" i="3"/>
  <c r="E45" i="3"/>
  <c r="E49" i="3"/>
  <c r="E52" i="3"/>
  <c r="E55" i="3"/>
  <c r="E65" i="3"/>
  <c r="E69" i="3"/>
  <c r="E73" i="3"/>
  <c r="E77" i="3"/>
  <c r="J21" i="11"/>
  <c r="K20" i="11"/>
  <c r="F68" i="3"/>
  <c r="J68" i="3"/>
  <c r="F61" i="3"/>
  <c r="J61" i="3"/>
  <c r="I61" i="3"/>
  <c r="F57" i="3"/>
  <c r="J57" i="3"/>
  <c r="H57" i="3"/>
  <c r="M57" i="3"/>
  <c r="F53" i="3"/>
  <c r="J53" i="3"/>
  <c r="G53" i="3"/>
  <c r="L53" i="3"/>
  <c r="M42" i="3"/>
  <c r="J42" i="3"/>
  <c r="K108" i="3"/>
  <c r="K104" i="3"/>
  <c r="K100" i="3"/>
  <c r="K96" i="3"/>
  <c r="K92" i="3"/>
  <c r="K88" i="3"/>
  <c r="K84" i="3"/>
  <c r="K80" i="3"/>
  <c r="H78" i="3"/>
  <c r="L78" i="3"/>
  <c r="G75" i="3"/>
  <c r="K75" i="3"/>
  <c r="F72" i="3"/>
  <c r="J72" i="3"/>
  <c r="M70" i="3"/>
  <c r="G70" i="3"/>
  <c r="I68" i="3"/>
  <c r="M67" i="3"/>
  <c r="H67" i="3"/>
  <c r="M64" i="3"/>
  <c r="H64" i="3"/>
  <c r="K61" i="3"/>
  <c r="G60" i="3"/>
  <c r="K60" i="3"/>
  <c r="H60" i="3"/>
  <c r="M60" i="3"/>
  <c r="K57" i="3"/>
  <c r="G56" i="3"/>
  <c r="K56" i="3"/>
  <c r="F56" i="3"/>
  <c r="L56" i="3"/>
  <c r="K53" i="3"/>
  <c r="G51" i="3"/>
  <c r="L42" i="3"/>
  <c r="F46" i="3"/>
  <c r="I42" i="3"/>
  <c r="G17" i="11"/>
  <c r="H17" i="11" s="1"/>
  <c r="M39" i="3" l="1"/>
  <c r="M35" i="3" s="1"/>
  <c r="H9" i="3" s="1"/>
  <c r="I17" i="11"/>
  <c r="L17" i="11"/>
  <c r="M17" i="11" s="1"/>
  <c r="N17" i="11" s="1"/>
  <c r="I69" i="3"/>
  <c r="M69" i="3"/>
  <c r="F69" i="3"/>
  <c r="K69" i="3"/>
  <c r="G69" i="3"/>
  <c r="L69" i="3"/>
  <c r="H69" i="3"/>
  <c r="J69" i="3"/>
  <c r="F49" i="3"/>
  <c r="J49" i="3"/>
  <c r="K49" i="3"/>
  <c r="L49" i="3"/>
  <c r="G49" i="3"/>
  <c r="M49" i="3"/>
  <c r="H49" i="3"/>
  <c r="I49" i="3"/>
  <c r="I54" i="3"/>
  <c r="M54" i="3"/>
  <c r="H54" i="3"/>
  <c r="J54" i="3"/>
  <c r="K54" i="3"/>
  <c r="F54" i="3"/>
  <c r="L54" i="3"/>
  <c r="G54" i="3"/>
  <c r="J22" i="11"/>
  <c r="K21" i="11"/>
  <c r="I65" i="3"/>
  <c r="M65" i="3"/>
  <c r="J65" i="3"/>
  <c r="F65" i="3"/>
  <c r="K65" i="3"/>
  <c r="G65" i="3"/>
  <c r="L65" i="3"/>
  <c r="H65" i="3"/>
  <c r="H45" i="3"/>
  <c r="K45" i="3"/>
  <c r="G45" i="3"/>
  <c r="F45" i="3"/>
  <c r="M45" i="3"/>
  <c r="I45" i="3"/>
  <c r="L45" i="3"/>
  <c r="J45" i="3"/>
  <c r="I50" i="3"/>
  <c r="M50" i="3"/>
  <c r="G50" i="3"/>
  <c r="L50" i="3"/>
  <c r="J50" i="3"/>
  <c r="K50" i="3"/>
  <c r="F50" i="3"/>
  <c r="H50" i="3"/>
  <c r="J47" i="3"/>
  <c r="I47" i="3"/>
  <c r="M47" i="3"/>
  <c r="H47" i="3"/>
  <c r="G47" i="3"/>
  <c r="F47" i="3"/>
  <c r="L47" i="3"/>
  <c r="K47" i="3"/>
  <c r="G18" i="11"/>
  <c r="I77" i="3"/>
  <c r="M77" i="3"/>
  <c r="H77" i="3"/>
  <c r="F77" i="3"/>
  <c r="K77" i="3"/>
  <c r="G77" i="3"/>
  <c r="J77" i="3"/>
  <c r="L77" i="3"/>
  <c r="H55" i="3"/>
  <c r="L55" i="3"/>
  <c r="J55" i="3"/>
  <c r="G55" i="3"/>
  <c r="I55" i="3"/>
  <c r="K55" i="3"/>
  <c r="F55" i="3"/>
  <c r="M55" i="3"/>
  <c r="I62" i="3"/>
  <c r="M62" i="3"/>
  <c r="F62" i="3"/>
  <c r="K62" i="3"/>
  <c r="H62" i="3"/>
  <c r="J62" i="3"/>
  <c r="L62" i="3"/>
  <c r="G62" i="3"/>
  <c r="G48" i="3"/>
  <c r="F48" i="3"/>
  <c r="J48" i="3"/>
  <c r="I48" i="3"/>
  <c r="H48" i="3"/>
  <c r="M48" i="3"/>
  <c r="K48" i="3"/>
  <c r="L48" i="3"/>
  <c r="J43" i="3"/>
  <c r="H43" i="3"/>
  <c r="M43" i="3"/>
  <c r="K43" i="3"/>
  <c r="F43" i="3"/>
  <c r="I43" i="3"/>
  <c r="L43" i="3"/>
  <c r="G43" i="3"/>
  <c r="I73" i="3"/>
  <c r="M73" i="3"/>
  <c r="G73" i="3"/>
  <c r="L73" i="3"/>
  <c r="J73" i="3"/>
  <c r="H73" i="3"/>
  <c r="F73" i="3"/>
  <c r="K73" i="3"/>
  <c r="G52" i="3"/>
  <c r="K52" i="3"/>
  <c r="J52" i="3"/>
  <c r="F52" i="3"/>
  <c r="M52" i="3"/>
  <c r="H52" i="3"/>
  <c r="I52" i="3"/>
  <c r="L52" i="3"/>
  <c r="I58" i="3"/>
  <c r="M58" i="3"/>
  <c r="J58" i="3"/>
  <c r="H58" i="3"/>
  <c r="K58" i="3"/>
  <c r="F58" i="3"/>
  <c r="L58" i="3"/>
  <c r="G58" i="3"/>
  <c r="G44" i="3"/>
  <c r="F44" i="3"/>
  <c r="J44" i="3"/>
  <c r="L44" i="3"/>
  <c r="H44" i="3"/>
  <c r="I44" i="3"/>
  <c r="K44" i="3"/>
  <c r="M44" i="3"/>
  <c r="G40" i="3"/>
  <c r="F40" i="3"/>
  <c r="J40" i="3"/>
  <c r="H40" i="3"/>
  <c r="K40" i="3"/>
  <c r="I40" i="3"/>
  <c r="L40" i="3"/>
  <c r="M40" i="3"/>
  <c r="K39" i="3"/>
  <c r="K35" i="3" s="1"/>
  <c r="J35" i="3"/>
  <c r="H23" i="3" l="1"/>
  <c r="H18" i="11"/>
  <c r="G19" i="11"/>
  <c r="G23" i="3"/>
  <c r="G9" i="3"/>
  <c r="K22" i="11"/>
  <c r="J23" i="11"/>
  <c r="K23" i="11" l="1"/>
  <c r="J24" i="11"/>
  <c r="H19" i="11"/>
  <c r="G20" i="11"/>
  <c r="I18" i="11"/>
  <c r="L18" i="11"/>
  <c r="M18" i="11" s="1"/>
  <c r="N18" i="11" s="1"/>
  <c r="L19" i="11" l="1"/>
  <c r="M19" i="11" s="1"/>
  <c r="N19" i="11" s="1"/>
  <c r="I19" i="11"/>
  <c r="H20" i="11"/>
  <c r="G36" i="11"/>
  <c r="G21" i="11"/>
  <c r="J25" i="11"/>
  <c r="K24" i="11"/>
  <c r="L20" i="11" l="1"/>
  <c r="M20" i="11" s="1"/>
  <c r="N20" i="11" s="1"/>
  <c r="G34" i="11" s="1"/>
  <c r="I20" i="11"/>
  <c r="J26" i="11"/>
  <c r="K25" i="11"/>
  <c r="H21" i="11"/>
  <c r="G22" i="11"/>
  <c r="L21" i="11" l="1"/>
  <c r="M21" i="11" s="1"/>
  <c r="N21" i="11" s="1"/>
  <c r="I21" i="11"/>
  <c r="K26" i="11"/>
  <c r="J27" i="11"/>
  <c r="H22" i="11"/>
  <c r="G23" i="11"/>
  <c r="H23" i="11" l="1"/>
  <c r="G24" i="11"/>
  <c r="K27" i="11"/>
  <c r="J28" i="11"/>
  <c r="K28" i="11" s="1"/>
  <c r="I22" i="11"/>
  <c r="L22" i="11"/>
  <c r="M22" i="11" s="1"/>
  <c r="N22" i="11" s="1"/>
  <c r="H24" i="11" l="1"/>
  <c r="G25" i="11"/>
  <c r="L23" i="11"/>
  <c r="M23" i="11" s="1"/>
  <c r="N23" i="11" s="1"/>
  <c r="I23" i="11"/>
  <c r="H25" i="11" l="1"/>
  <c r="G26" i="11"/>
  <c r="L24" i="11"/>
  <c r="M24" i="11" s="1"/>
  <c r="N24" i="11" s="1"/>
  <c r="I24" i="11"/>
  <c r="H26" i="11" l="1"/>
  <c r="G27" i="11"/>
  <c r="L25" i="11"/>
  <c r="M25" i="11" s="1"/>
  <c r="N25" i="11" s="1"/>
  <c r="I25" i="11"/>
  <c r="H27" i="11" l="1"/>
  <c r="G28" i="11"/>
  <c r="I26" i="11"/>
  <c r="L26" i="11"/>
  <c r="M26" i="11" s="1"/>
  <c r="N26" i="11" s="1"/>
  <c r="H28" i="11" l="1"/>
  <c r="G37" i="11"/>
  <c r="L27" i="11"/>
  <c r="M27" i="11" s="1"/>
  <c r="N27" i="11" s="1"/>
  <c r="I27" i="11"/>
  <c r="L28" i="11" l="1"/>
  <c r="M28" i="11" s="1"/>
  <c r="N28" i="11" s="1"/>
  <c r="G35" i="11" s="1"/>
  <c r="H34" i="11" s="1"/>
  <c r="I28" i="11"/>
</calcChain>
</file>

<file path=xl/sharedStrings.xml><?xml version="1.0" encoding="utf-8"?>
<sst xmlns="http://schemas.openxmlformats.org/spreadsheetml/2006/main" count="147" uniqueCount="124">
  <si>
    <t>Machine Price</t>
  </si>
  <si>
    <t>Machine Cost</t>
  </si>
  <si>
    <t>Production Cost Per Plate</t>
  </si>
  <si>
    <t>Initial Annual Number of Plates</t>
  </si>
  <si>
    <t>Initial (New) Price/Plate</t>
  </si>
  <si>
    <t>Initial (Old) Price/Plate</t>
  </si>
  <si>
    <t>Discount Rate</t>
  </si>
  <si>
    <t>New Price/Plate Incr/Yr</t>
  </si>
  <si>
    <t>Old Price/Plate Incr/Yr</t>
  </si>
  <si>
    <t>Use Growth/Yr</t>
  </si>
  <si>
    <t>Number of Years ( &gt;= 2)</t>
  </si>
  <si>
    <t>Buyer</t>
  </si>
  <si>
    <t>Seller</t>
  </si>
  <si>
    <t>DCF</t>
  </si>
  <si>
    <t>Buyer DCF</t>
  </si>
  <si>
    <t>Seller DCF</t>
  </si>
  <si>
    <t>Machine Price Table</t>
  </si>
  <si>
    <t>TOTALS =</t>
  </si>
  <si>
    <t>Number of</t>
  </si>
  <si>
    <t>Old Price</t>
  </si>
  <si>
    <t>New Price</t>
  </si>
  <si>
    <t xml:space="preserve">Buyer </t>
  </si>
  <si>
    <t xml:space="preserve"> Year</t>
  </si>
  <si>
    <t>Plates</t>
  </si>
  <si>
    <t>Per Plate</t>
  </si>
  <si>
    <t>Cash Flow</t>
  </si>
  <si>
    <t>Disc. MULT</t>
  </si>
  <si>
    <t xml:space="preserve">Break Even </t>
  </si>
  <si>
    <t>Price/Plate</t>
  </si>
  <si>
    <t>Salvage Value (New machine(</t>
  </si>
  <si>
    <t>Salvage Value (Old Machine)</t>
  </si>
  <si>
    <t>Machine Price Start =</t>
  </si>
  <si>
    <t>Machine Price Step =</t>
  </si>
  <si>
    <t>Price/Plate Start =</t>
  </si>
  <si>
    <t>Price/Plate Step =</t>
  </si>
  <si>
    <t xml:space="preserve"> </t>
  </si>
  <si>
    <t>Original Data</t>
  </si>
  <si>
    <t>To change the data, go to the "DATA" sheet and enter new values</t>
  </si>
  <si>
    <t>Attention: This sheet contains all the intermediary calculations, do not enter or change any value in this sheet</t>
  </si>
  <si>
    <t>How to use this spreadsheet</t>
  </si>
  <si>
    <t>Introduction</t>
  </si>
  <si>
    <t>Media Efficiency</t>
  </si>
  <si>
    <t>Advertising</t>
  </si>
  <si>
    <t>Copy Effectiveness</t>
  </si>
  <si>
    <r>
      <t xml:space="preserve">Bright yellow indicates a cell you </t>
    </r>
    <r>
      <rPr>
        <b/>
        <i/>
        <sz val="10"/>
        <rFont val="Arial"/>
        <family val="2"/>
      </rPr>
      <t>should</t>
    </r>
    <r>
      <rPr>
        <i/>
        <sz val="10"/>
        <rFont val="Arial"/>
        <family val="2"/>
      </rPr>
      <t xml:space="preserve"> change.</t>
    </r>
  </si>
  <si>
    <r>
      <t xml:space="preserve">Faded yellow indicates a cell you </t>
    </r>
    <r>
      <rPr>
        <b/>
        <i/>
        <sz val="10"/>
        <rFont val="Arial"/>
        <family val="2"/>
      </rPr>
      <t>are allowed</t>
    </r>
    <r>
      <rPr>
        <i/>
        <sz val="10"/>
        <rFont val="Arial"/>
        <family val="2"/>
      </rPr>
      <t xml:space="preserve"> to modify. Do this only if you have good reasons to do so.</t>
    </r>
  </si>
  <si>
    <t>AdBudg Calibration</t>
  </si>
  <si>
    <t>Persistence</t>
  </si>
  <si>
    <t>Initial Market Share</t>
  </si>
  <si>
    <t>Initial Advertising Budget</t>
  </si>
  <si>
    <t>Long-Run Share (without spending)</t>
  </si>
  <si>
    <t>Initial Share</t>
  </si>
  <si>
    <t>Minimum Share at End</t>
  </si>
  <si>
    <t>Maximum Share at End</t>
  </si>
  <si>
    <t>End Share with +20% Advertising</t>
  </si>
  <si>
    <t>Time</t>
  </si>
  <si>
    <t>(one period)</t>
  </si>
  <si>
    <t>AdBudg Response Curve</t>
  </si>
  <si>
    <t>Share</t>
  </si>
  <si>
    <t>Advertising Budget</t>
  </si>
  <si>
    <t>Share at End of Period</t>
  </si>
  <si>
    <t>Saturation</t>
  </si>
  <si>
    <t>No advertising</t>
  </si>
  <si>
    <t>Calibration Errors</t>
  </si>
  <si>
    <t>Specify the initial share at the beginning of the period, and the share at the end of the period for different levels of advertising spending.</t>
  </si>
  <si>
    <r>
      <t xml:space="preserve">If you change calibration values, you will need to recalibrate the curve (parameters </t>
    </r>
    <r>
      <rPr>
        <b/>
        <i/>
        <sz val="10"/>
        <color indexed="23"/>
        <rFont val="Arial"/>
        <family val="2"/>
      </rPr>
      <t>c</t>
    </r>
    <r>
      <rPr>
        <b/>
        <sz val="10"/>
        <color indexed="23"/>
        <rFont val="Arial"/>
        <family val="2"/>
      </rPr>
      <t xml:space="preserve"> and </t>
    </r>
    <r>
      <rPr>
        <b/>
        <i/>
        <sz val="10"/>
        <color indexed="23"/>
        <rFont val="Arial"/>
        <family val="2"/>
      </rPr>
      <t>d</t>
    </r>
    <r>
      <rPr>
        <b/>
        <sz val="10"/>
        <color indexed="23"/>
        <rFont val="Arial"/>
        <family val="2"/>
      </rPr>
      <t>). Please refer to the tutorial.</t>
    </r>
  </si>
  <si>
    <r>
      <t xml:space="preserve">Parameter </t>
    </r>
    <r>
      <rPr>
        <b/>
        <i/>
        <sz val="10"/>
        <rFont val="Arial"/>
        <family val="2"/>
      </rPr>
      <t>c</t>
    </r>
  </si>
  <si>
    <r>
      <t xml:space="preserve">Parameter </t>
    </r>
    <r>
      <rPr>
        <b/>
        <i/>
        <sz val="10"/>
        <rFont val="Arial"/>
        <family val="2"/>
      </rPr>
      <t>d</t>
    </r>
  </si>
  <si>
    <t>Shows share at the end of the period, for different levels of advertising spending.</t>
  </si>
  <si>
    <t>Forecasting Parameters</t>
  </si>
  <si>
    <t>Average Product Price/Unit</t>
  </si>
  <si>
    <t>Brand Price/Unit</t>
  </si>
  <si>
    <t>Contribution/Unit</t>
  </si>
  <si>
    <t>Sales per Period</t>
  </si>
  <si>
    <t>Sales Growth Rate/Period</t>
  </si>
  <si>
    <t>Contribution</t>
  </si>
  <si>
    <t>Units</t>
  </si>
  <si>
    <t>Dollars</t>
  </si>
  <si>
    <t>Period</t>
  </si>
  <si>
    <t>Initial</t>
  </si>
  <si>
    <t>Q1</t>
  </si>
  <si>
    <t>Q2</t>
  </si>
  <si>
    <t>Q3</t>
  </si>
  <si>
    <t>Q4</t>
  </si>
  <si>
    <t>Cumulative</t>
  </si>
  <si>
    <t>Brand Sales</t>
  </si>
  <si>
    <t>Product Class Sales</t>
  </si>
  <si>
    <t>After Adv.</t>
  </si>
  <si>
    <t>Before Adv.</t>
  </si>
  <si>
    <t>Annual Adv. Budget</t>
  </si>
  <si>
    <t>Forecasts</t>
  </si>
  <si>
    <t>Multicriteria GoalSeek</t>
  </si>
  <si>
    <t>Short Term Profit</t>
  </si>
  <si>
    <t>Long Term Profit</t>
  </si>
  <si>
    <t>Short Term Share</t>
  </si>
  <si>
    <t>Long Term Share</t>
  </si>
  <si>
    <t>Weights</t>
  </si>
  <si>
    <t>Scaled Weights</t>
  </si>
  <si>
    <t>Reference Points</t>
  </si>
  <si>
    <t>Scaled Values</t>
  </si>
  <si>
    <t>Weighted Objective</t>
  </si>
  <si>
    <t>Set the reference point and weight of each objective.</t>
  </si>
  <si>
    <t>ADBUDG Advertising Budgeting</t>
  </si>
  <si>
    <t>ADBUDG advertising budgeting spreadsheet for the Blue Mountain Coffee exercise</t>
  </si>
  <si>
    <t>ADBUDG is an advertising sales response model developed by Little (1970) that uses judgmental inputs on market response to determine the best level and timing of advertising expenditures.</t>
  </si>
  <si>
    <t>This implementation of ADBUDG is designed to accompany the Blue Mountain Coffee case.</t>
  </si>
  <si>
    <r>
      <t xml:space="preserve">First, you need to open the </t>
    </r>
    <r>
      <rPr>
        <i/>
        <sz val="10"/>
        <rFont val="Arial"/>
        <family val="2"/>
      </rPr>
      <t>calibration</t>
    </r>
    <r>
      <rPr>
        <sz val="10"/>
        <rFont val="Arial"/>
        <family val="2"/>
      </rPr>
      <t xml:space="preserve"> sheet, and calibrate the ADBUDG response model using Solver. The ADBUDG response model predicts changes in market shares based on changes in advertising spending.</t>
    </r>
  </si>
  <si>
    <r>
      <t xml:space="preserve">Once the ADBUDG response function has been calibrated, open the </t>
    </r>
    <r>
      <rPr>
        <i/>
        <sz val="10"/>
        <rFont val="Arial"/>
        <family val="2"/>
      </rPr>
      <t>forecasting</t>
    </r>
    <r>
      <rPr>
        <sz val="10"/>
        <rFont val="Arial"/>
        <family val="2"/>
      </rPr>
      <t xml:space="preserve"> sheet, setup your goals, assign weights to each of these goals, and run Solver to find the optimal solution.</t>
    </r>
  </si>
  <si>
    <t>X</t>
  </si>
  <si>
    <t>Y</t>
  </si>
  <si>
    <t>b</t>
  </si>
  <si>
    <t>a</t>
  </si>
  <si>
    <t>d</t>
  </si>
  <si>
    <t>c</t>
  </si>
  <si>
    <t>upper bound</t>
  </si>
  <si>
    <t xml:space="preserve">lower bound </t>
  </si>
  <si>
    <t>??</t>
  </si>
  <si>
    <t>Market Share in %</t>
  </si>
  <si>
    <t>Ad Budget in Millions</t>
  </si>
  <si>
    <t>In Excel caret symbo, you can press Shift 6</t>
  </si>
  <si>
    <r>
      <t xml:space="preserve"> Y</t>
    </r>
    <r>
      <rPr>
        <b/>
        <sz val="16"/>
        <color rgb="FFC00000"/>
        <rFont val="MathJax_Main"/>
      </rPr>
      <t>(Sales)=</t>
    </r>
    <r>
      <rPr>
        <b/>
        <sz val="16"/>
        <color rgb="FFC00000"/>
        <rFont val="MathJax_Math-italic"/>
      </rPr>
      <t>b</t>
    </r>
    <r>
      <rPr>
        <b/>
        <sz val="16"/>
        <color rgb="FFC00000"/>
        <rFont val="MathJax_Main"/>
      </rPr>
      <t>+(</t>
    </r>
    <r>
      <rPr>
        <b/>
        <sz val="16"/>
        <color rgb="FFC00000"/>
        <rFont val="MathJax_Math-italic"/>
      </rPr>
      <t>a</t>
    </r>
    <r>
      <rPr>
        <b/>
        <sz val="16"/>
        <color rgb="FFC00000"/>
        <rFont val="MathJax_Main"/>
      </rPr>
      <t>−</t>
    </r>
    <r>
      <rPr>
        <b/>
        <sz val="16"/>
        <color rgb="FFC00000"/>
        <rFont val="MathJax_Math-italic"/>
      </rPr>
      <t>b</t>
    </r>
    <r>
      <rPr>
        <b/>
        <sz val="16"/>
        <color rgb="FFC00000"/>
        <rFont val="MathJax_Main"/>
      </rPr>
      <t>)*(X^</t>
    </r>
    <r>
      <rPr>
        <b/>
        <sz val="16"/>
        <color rgb="FFC00000"/>
        <rFont val="MathJax_Math-italic"/>
      </rPr>
      <t>c)/(d+X^c);    X is Ad budget</t>
    </r>
  </si>
  <si>
    <t>The model is S-shaped for c&gt;1 and concave for 0&lt;c&lt;1 (Not true) ==&gt; Elasticity</t>
  </si>
  <si>
    <t>Fill data automatically in worksheet cells (microsoft.com)</t>
  </si>
  <si>
    <r>
      <t xml:space="preserve">
</t>
    </r>
    <r>
      <rPr>
        <b/>
        <sz val="16"/>
        <color rgb="FF232629"/>
        <rFont val="Segoe UI"/>
        <family val="2"/>
      </rPr>
      <t>ADBUDG model</t>
    </r>
    <r>
      <rPr>
        <sz val="16"/>
        <color rgb="FF232629"/>
        <rFont val="Segoe UI"/>
        <family val="2"/>
      </rPr>
      <t xml:space="preserve"> proposed by John Little of MIT. The model assumes that:
</t>
    </r>
    <r>
      <rPr>
        <b/>
        <sz val="20"/>
        <color rgb="FF232629"/>
        <rFont val="Segoe UI"/>
        <family val="2"/>
      </rPr>
      <t xml:space="preserve">S=b+(a−b)*(A^c)/(d+A^c) </t>
    </r>
    <r>
      <rPr>
        <sz val="16"/>
        <color rgb="FF232629"/>
        <rFont val="Segoe UI"/>
        <family val="2"/>
      </rPr>
      <t xml:space="preserve">    S: Sales;   A: Advertizing budge
The model generates an s-shaped curve for c&gt;1 and sales are bounded between b and a. Estimating the model requires you to use non-linear least squares where you minimize the squared sum of residual errors between the actual sales and estimated sales using the function above.
Implementing the above should be possible in Excel (using its in-built optimization routines) or other platforms such as R, Python etc.</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</si>
</sst>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5" formatCode="&quot;$&quot;#,##0_);\(&quot;$&quot;#,##0\)"/>
    <numFmt numFmtId="7" formatCode="&quot;$&quot;#,##0.00_);\(&quot;$&quot;#,##0.00\)"/>
    <numFmt numFmtId="164" formatCode="_ &quot;$&quot;* #,##0.00_ ;_ &quot;$&quot;* \-#,##0.00_ ;_ &quot;$&quot;* &quot;-&quot;??_ ;_ @_ "/>
    <numFmt numFmtId="165" formatCode="0_);\(0\)"/>
    <numFmt numFmtId="166" formatCode="&quot;$&quot;0\,000"/>
    <numFmt numFmtId="167" formatCode="&quot;$&quot;#,##0.00"/>
    <numFmt numFmtId="168" formatCode="_ &quot;$&quot;* #,##0_ ;_ &quot;$&quot;* \-#,##0_ ;_ &quot;$&quot;* &quot;-&quot;??_ ;_ @_ "/>
    <numFmt numFmtId="169" formatCode="&quot;$&quot;#,##0.000_);\(&quot;$&quot;#,##0.000\)"/>
    <numFmt numFmtId="170" formatCode="&quot;$&quot;#,##0"/>
    <numFmt numFmtId="171" formatCode="0.0%"/>
    <numFmt numFmtId="172" formatCode="&quot;$&quot;#,##0.0"/>
    <numFmt numFmtId="173" formatCode="#,##0.0\ &quot;M$&quot;"/>
    <numFmt numFmtId="174" formatCode="#,##0.00\ &quot;M$&quot;"/>
    <numFmt numFmtId="175" formatCode="0.00\ &quot;M$&quot;"/>
    <numFmt numFmtId="176" formatCode="0.0\ &quot;M$&quot;"/>
  </numFmts>
  <fonts count="35">
    <font>
      <sz val="10"/>
      <name val="Arial"/>
    </font>
    <font>
      <sz val="10"/>
      <name val="Arial"/>
      <family val="2"/>
    </font>
    <font>
      <sz val="10"/>
      <name val="Geneva"/>
    </font>
    <font>
      <sz val="10"/>
      <color indexed="12"/>
      <name val="Geneva"/>
    </font>
    <font>
      <b/>
      <sz val="10"/>
      <name val="Geneva"/>
    </font>
    <font>
      <sz val="8"/>
      <name val="Arial"/>
      <family val="2"/>
    </font>
    <font>
      <sz val="8"/>
      <name val="Geneva"/>
    </font>
    <font>
      <sz val="10"/>
      <color indexed="10"/>
      <name val="Geneva"/>
    </font>
    <font>
      <sz val="10"/>
      <color indexed="18"/>
      <name val="Geneva"/>
    </font>
    <font>
      <sz val="10"/>
      <color indexed="18"/>
      <name val="Arial"/>
      <family val="2"/>
    </font>
    <font>
      <b/>
      <sz val="10"/>
      <name val="Arial"/>
      <family val="2"/>
    </font>
    <font>
      <sz val="10"/>
      <name val="Arial"/>
      <family val="2"/>
    </font>
    <font>
      <b/>
      <i/>
      <sz val="14"/>
      <color indexed="48"/>
      <name val="Arial"/>
      <family val="2"/>
    </font>
    <font>
      <b/>
      <sz val="14"/>
      <color indexed="9"/>
      <name val="Arial"/>
      <family val="2"/>
    </font>
    <font>
      <b/>
      <sz val="10"/>
      <color indexed="22"/>
      <name val="Arial"/>
      <family val="2"/>
    </font>
    <font>
      <i/>
      <sz val="10"/>
      <color indexed="23"/>
      <name val="Arial"/>
      <family val="2"/>
    </font>
    <font>
      <i/>
      <sz val="10"/>
      <name val="Arial"/>
      <family val="2"/>
    </font>
    <font>
      <b/>
      <i/>
      <sz val="10"/>
      <name val="Arial"/>
      <family val="2"/>
    </font>
    <font>
      <sz val="8"/>
      <color indexed="23"/>
      <name val="Arial"/>
      <family val="2"/>
    </font>
    <font>
      <u/>
      <sz val="10"/>
      <color indexed="12"/>
      <name val="Arial"/>
      <family val="2"/>
    </font>
    <font>
      <b/>
      <sz val="10"/>
      <color indexed="10"/>
      <name val="Arial"/>
      <family val="2"/>
    </font>
    <font>
      <b/>
      <sz val="10"/>
      <color indexed="23"/>
      <name val="Arial"/>
      <family val="2"/>
    </font>
    <font>
      <b/>
      <i/>
      <sz val="10"/>
      <color indexed="23"/>
      <name val="Arial"/>
      <family val="2"/>
    </font>
    <font>
      <sz val="9"/>
      <color rgb="FF232629"/>
      <name val="MathJax_Math-italic"/>
    </font>
    <font>
      <sz val="8"/>
      <color rgb="FF232629"/>
      <name val="Segoe UI"/>
      <family val="2"/>
    </font>
    <font>
      <b/>
      <sz val="16"/>
      <color rgb="FFC00000"/>
      <name val="MathJax_Math-italic"/>
    </font>
    <font>
      <b/>
      <sz val="16"/>
      <color rgb="FFC00000"/>
      <name val="MathJax_Main"/>
    </font>
    <font>
      <u/>
      <sz val="12"/>
      <color indexed="12"/>
      <name val="Arial"/>
      <family val="2"/>
    </font>
    <font>
      <b/>
      <sz val="11"/>
      <name val="Arial"/>
      <family val="2"/>
    </font>
    <font>
      <sz val="14"/>
      <name val="Arial"/>
      <family val="2"/>
    </font>
    <font>
      <sz val="9"/>
      <name val="MathJax_Math-italic"/>
    </font>
    <font>
      <sz val="16"/>
      <color rgb="FF232629"/>
      <name val="Segoe UI"/>
      <family val="2"/>
    </font>
    <font>
      <b/>
      <sz val="20"/>
      <color rgb="FF232629"/>
      <name val="Segoe UI"/>
      <family val="2"/>
    </font>
    <font>
      <b/>
      <sz val="16"/>
      <color rgb="FF232629"/>
      <name val="Segoe UI"/>
      <family val="2"/>
    </font>
    <font>
      <b/>
      <sz val="14"/>
      <name val="Arial"/>
      <family val="2"/>
    </font>
  </fonts>
  <fills count="9">
    <fill>
      <patternFill patternType="none"/>
    </fill>
    <fill>
      <patternFill patternType="gray125"/>
    </fill>
    <fill>
      <patternFill patternType="solid">
        <fgColor indexed="9"/>
        <bgColor indexed="64"/>
      </patternFill>
    </fill>
    <fill>
      <patternFill patternType="solid">
        <fgColor indexed="43"/>
        <bgColor indexed="64"/>
      </patternFill>
    </fill>
    <fill>
      <patternFill patternType="solid">
        <fgColor indexed="47"/>
        <bgColor indexed="64"/>
      </patternFill>
    </fill>
    <fill>
      <patternFill patternType="mediumGray">
        <fgColor indexed="9"/>
        <bgColor indexed="43"/>
      </patternFill>
    </fill>
    <fill>
      <patternFill patternType="lightUp">
        <fgColor indexed="22"/>
        <bgColor indexed="9"/>
      </patternFill>
    </fill>
    <fill>
      <patternFill patternType="solid">
        <fgColor indexed="44"/>
        <bgColor indexed="64"/>
      </patternFill>
    </fill>
    <fill>
      <patternFill patternType="solid">
        <fgColor indexed="48"/>
        <bgColor indexed="64"/>
      </patternFill>
    </fill>
  </fills>
  <borders count="46">
    <border>
      <left/>
      <right/>
      <top/>
      <bottom/>
      <diagonal/>
    </border>
    <border>
      <left/>
      <right/>
      <top/>
      <bottom style="hair">
        <color indexed="64"/>
      </bottom>
      <diagonal/>
    </border>
    <border>
      <left/>
      <right/>
      <top style="hair">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hair">
        <color indexed="64"/>
      </bottom>
      <diagonal/>
    </border>
    <border>
      <left/>
      <right style="thin">
        <color indexed="64"/>
      </right>
      <top/>
      <bottom style="hair">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hair">
        <color indexed="64"/>
      </left>
      <right/>
      <top style="hair">
        <color indexed="64"/>
      </top>
      <bottom/>
      <diagonal/>
    </border>
    <border>
      <left style="hair">
        <color indexed="64"/>
      </left>
      <right/>
      <top/>
      <bottom/>
      <diagonal/>
    </border>
    <border>
      <left style="hair">
        <color indexed="64"/>
      </left>
      <right/>
      <top/>
      <bottom style="hair">
        <color indexed="64"/>
      </bottom>
      <diagonal/>
    </border>
    <border>
      <left/>
      <right style="hair">
        <color indexed="64"/>
      </right>
      <top style="hair">
        <color indexed="64"/>
      </top>
      <bottom/>
      <diagonal/>
    </border>
    <border>
      <left/>
      <right style="hair">
        <color indexed="64"/>
      </right>
      <top/>
      <bottom/>
      <diagonal/>
    </border>
    <border>
      <left/>
      <right style="hair">
        <color indexed="64"/>
      </right>
      <top/>
      <bottom style="hair">
        <color indexed="64"/>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style="thin">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mediumDashed">
        <color indexed="64"/>
      </left>
      <right style="mediumDashed">
        <color indexed="64"/>
      </right>
      <top style="mediumDashed">
        <color indexed="64"/>
      </top>
      <bottom style="mediumDashed">
        <color indexed="64"/>
      </bottom>
      <diagonal/>
    </border>
    <border>
      <left style="thin">
        <color indexed="64"/>
      </left>
      <right style="dotted">
        <color indexed="64"/>
      </right>
      <top style="thin">
        <color indexed="64"/>
      </top>
      <bottom/>
      <diagonal/>
    </border>
    <border>
      <left style="dotted">
        <color indexed="64"/>
      </left>
      <right style="thin">
        <color indexed="64"/>
      </right>
      <top style="thin">
        <color indexed="64"/>
      </top>
      <bottom/>
      <diagonal/>
    </border>
    <border>
      <left style="dotted">
        <color indexed="64"/>
      </left>
      <right style="dotted">
        <color indexed="64"/>
      </right>
      <top/>
      <bottom style="thin">
        <color indexed="64"/>
      </bottom>
      <diagonal/>
    </border>
    <border>
      <left style="dotted">
        <color indexed="64"/>
      </left>
      <right style="thin">
        <color indexed="64"/>
      </right>
      <top/>
      <bottom style="thin">
        <color indexed="64"/>
      </bottom>
      <diagonal/>
    </border>
    <border>
      <left/>
      <right style="dotted">
        <color indexed="64"/>
      </right>
      <top style="thin">
        <color indexed="64"/>
      </top>
      <bottom style="thin">
        <color indexed="64"/>
      </bottom>
      <diagonal/>
    </border>
    <border>
      <left style="dotted">
        <color indexed="64"/>
      </left>
      <right style="dotted">
        <color indexed="64"/>
      </right>
      <top style="thin">
        <color indexed="64"/>
      </top>
      <bottom/>
      <diagonal/>
    </border>
    <border>
      <left style="mediumDashed">
        <color indexed="64"/>
      </left>
      <right style="mediumDashed">
        <color indexed="64"/>
      </right>
      <top style="mediumDashed">
        <color indexed="64"/>
      </top>
      <bottom style="thin">
        <color indexed="64"/>
      </bottom>
      <diagonal/>
    </border>
    <border>
      <left style="mediumDashed">
        <color indexed="64"/>
      </left>
      <right style="mediumDashed">
        <color indexed="64"/>
      </right>
      <top style="thin">
        <color indexed="64"/>
      </top>
      <bottom style="thin">
        <color indexed="64"/>
      </bottom>
      <diagonal/>
    </border>
    <border>
      <left style="mediumDashed">
        <color indexed="64"/>
      </left>
      <right style="mediumDashed">
        <color indexed="64"/>
      </right>
      <top style="thin">
        <color indexed="64"/>
      </top>
      <bottom style="mediumDashed">
        <color indexed="64"/>
      </bottom>
      <diagonal/>
    </border>
    <border>
      <left style="thin">
        <color indexed="64"/>
      </left>
      <right style="dotted">
        <color indexed="64"/>
      </right>
      <top/>
      <bottom style="thin">
        <color indexed="64"/>
      </bottom>
      <diagonal/>
    </border>
    <border>
      <left style="dotted">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mediumDashed">
        <color indexed="64"/>
      </left>
      <right/>
      <top style="thin">
        <color indexed="64"/>
      </top>
      <bottom style="thin">
        <color indexed="64"/>
      </bottom>
      <diagonal/>
    </border>
    <border>
      <left/>
      <right style="mediumDashed">
        <color indexed="64"/>
      </right>
      <top style="thin">
        <color indexed="64"/>
      </top>
      <bottom style="thin">
        <color indexed="64"/>
      </bottom>
      <diagonal/>
    </border>
  </borders>
  <cellStyleXfs count="5">
    <xf numFmtId="0" fontId="0" fillId="0" borderId="0"/>
    <xf numFmtId="164" fontId="1" fillId="0" borderId="0" applyFont="0" applyFill="0" applyBorder="0" applyAlignment="0" applyProtection="0"/>
    <xf numFmtId="0" fontId="19" fillId="0" borderId="0" applyNumberFormat="0" applyFill="0" applyBorder="0" applyAlignment="0" applyProtection="0">
      <alignment vertical="top"/>
      <protection locked="0"/>
    </xf>
    <xf numFmtId="0" fontId="2" fillId="0" borderId="0"/>
    <xf numFmtId="9" fontId="1" fillId="0" borderId="0" applyFont="0" applyFill="0" applyBorder="0" applyAlignment="0" applyProtection="0"/>
  </cellStyleXfs>
  <cellXfs count="200">
    <xf numFmtId="0" fontId="0" fillId="0" borderId="0" xfId="0"/>
    <xf numFmtId="0" fontId="2" fillId="0" borderId="0" xfId="3" applyFont="1"/>
    <xf numFmtId="0" fontId="2" fillId="0" borderId="0" xfId="3" applyFont="1" applyAlignment="1" applyProtection="1">
      <alignment horizontal="left"/>
    </xf>
    <xf numFmtId="5" fontId="3" fillId="0" borderId="0" xfId="3" applyNumberFormat="1" applyFont="1" applyProtection="1">
      <protection locked="0"/>
    </xf>
    <xf numFmtId="0" fontId="2" fillId="0" borderId="0" xfId="3" applyFont="1" applyProtection="1"/>
    <xf numFmtId="7" fontId="3" fillId="0" borderId="0" xfId="3" applyNumberFormat="1" applyFont="1" applyProtection="1">
      <protection locked="0"/>
    </xf>
    <xf numFmtId="0" fontId="3" fillId="0" borderId="0" xfId="3" applyFont="1" applyProtection="1"/>
    <xf numFmtId="0" fontId="2" fillId="0" borderId="1" xfId="3" applyFont="1" applyBorder="1"/>
    <xf numFmtId="0" fontId="0" fillId="2" borderId="0" xfId="0" applyFill="1"/>
    <xf numFmtId="0" fontId="2" fillId="2" borderId="0" xfId="3" applyFont="1" applyFill="1"/>
    <xf numFmtId="0" fontId="2" fillId="2" borderId="0" xfId="3" applyFont="1" applyFill="1" applyAlignment="1" applyProtection="1">
      <alignment horizontal="left"/>
    </xf>
    <xf numFmtId="0" fontId="2" fillId="2" borderId="0" xfId="3" applyFont="1" applyFill="1" applyBorder="1" applyAlignment="1" applyProtection="1">
      <alignment horizontal="left"/>
    </xf>
    <xf numFmtId="0" fontId="2" fillId="2" borderId="2" xfId="3" applyFont="1" applyFill="1" applyBorder="1"/>
    <xf numFmtId="0" fontId="2" fillId="2" borderId="0" xfId="3" applyFont="1" applyFill="1" applyBorder="1"/>
    <xf numFmtId="0" fontId="2" fillId="2" borderId="1" xfId="3" applyFont="1" applyFill="1" applyBorder="1"/>
    <xf numFmtId="166" fontId="2" fillId="0" borderId="0" xfId="3" applyNumberFormat="1" applyFont="1"/>
    <xf numFmtId="0" fontId="4" fillId="2" borderId="3" xfId="3" applyFont="1" applyFill="1" applyBorder="1" applyAlignment="1" applyProtection="1">
      <alignment horizontal="left"/>
    </xf>
    <xf numFmtId="5" fontId="2" fillId="2" borderId="4" xfId="3" applyNumberFormat="1" applyFont="1" applyFill="1" applyBorder="1" applyProtection="1"/>
    <xf numFmtId="5" fontId="2" fillId="2" borderId="5" xfId="3" applyNumberFormat="1" applyFont="1" applyFill="1" applyBorder="1" applyProtection="1"/>
    <xf numFmtId="0" fontId="2" fillId="2" borderId="1" xfId="3" applyFont="1" applyFill="1" applyBorder="1" applyAlignment="1" applyProtection="1">
      <alignment horizontal="center"/>
    </xf>
    <xf numFmtId="167" fontId="6" fillId="0" borderId="0" xfId="1" applyNumberFormat="1" applyFont="1" applyAlignment="1" applyProtection="1">
      <alignment horizontal="center"/>
    </xf>
    <xf numFmtId="5" fontId="6" fillId="0" borderId="0" xfId="3" applyNumberFormat="1" applyFont="1" applyProtection="1">
      <protection locked="0"/>
    </xf>
    <xf numFmtId="164" fontId="2" fillId="0" borderId="0" xfId="1" applyFont="1"/>
    <xf numFmtId="168" fontId="2" fillId="0" borderId="0" xfId="1" applyNumberFormat="1" applyFont="1"/>
    <xf numFmtId="164" fontId="2" fillId="0" borderId="1" xfId="1" applyFont="1" applyBorder="1" applyAlignment="1" applyProtection="1">
      <alignment horizontal="left"/>
    </xf>
    <xf numFmtId="168" fontId="2" fillId="0" borderId="1" xfId="1" applyNumberFormat="1" applyFont="1" applyBorder="1"/>
    <xf numFmtId="164" fontId="6" fillId="0" borderId="6" xfId="1" applyFont="1" applyBorder="1" applyAlignment="1" applyProtection="1">
      <alignment horizontal="left"/>
    </xf>
    <xf numFmtId="168" fontId="5" fillId="0" borderId="6" xfId="1" applyNumberFormat="1" applyFont="1" applyBorder="1"/>
    <xf numFmtId="164" fontId="6" fillId="0" borderId="0" xfId="1" applyFont="1"/>
    <xf numFmtId="168" fontId="6" fillId="0" borderId="0" xfId="1" applyNumberFormat="1" applyFont="1"/>
    <xf numFmtId="164" fontId="6" fillId="0" borderId="0" xfId="1" applyFont="1" applyAlignment="1" applyProtection="1">
      <alignment horizontal="center"/>
    </xf>
    <xf numFmtId="168" fontId="6" fillId="0" borderId="0" xfId="1" applyNumberFormat="1" applyFont="1" applyAlignment="1" applyProtection="1">
      <alignment horizontal="center"/>
    </xf>
    <xf numFmtId="0" fontId="2" fillId="0" borderId="1" xfId="3" applyFont="1" applyBorder="1" applyAlignment="1" applyProtection="1">
      <alignment horizontal="left"/>
    </xf>
    <xf numFmtId="0" fontId="3" fillId="0" borderId="0" xfId="3" applyFont="1" applyProtection="1">
      <protection locked="0"/>
    </xf>
    <xf numFmtId="5" fontId="0" fillId="0" borderId="0" xfId="0" applyNumberFormat="1"/>
    <xf numFmtId="0" fontId="2" fillId="2" borderId="7" xfId="3" applyFont="1" applyFill="1" applyBorder="1"/>
    <xf numFmtId="0" fontId="2" fillId="2" borderId="8" xfId="3" applyFont="1" applyFill="1" applyBorder="1" applyAlignment="1" applyProtection="1">
      <alignment horizontal="center"/>
    </xf>
    <xf numFmtId="0" fontId="2" fillId="2" borderId="9" xfId="3" applyFont="1" applyFill="1" applyBorder="1" applyAlignment="1" applyProtection="1">
      <alignment horizontal="center"/>
    </xf>
    <xf numFmtId="0" fontId="2" fillId="2" borderId="10" xfId="3" applyFont="1" applyFill="1" applyBorder="1" applyAlignment="1" applyProtection="1">
      <alignment horizontal="center"/>
    </xf>
    <xf numFmtId="0" fontId="2" fillId="2" borderId="11" xfId="3" applyFont="1" applyFill="1" applyBorder="1" applyAlignment="1" applyProtection="1">
      <alignment horizontal="center"/>
    </xf>
    <xf numFmtId="0" fontId="2" fillId="2" borderId="12" xfId="3" applyFont="1" applyFill="1" applyBorder="1" applyAlignment="1" applyProtection="1">
      <alignment horizontal="center"/>
    </xf>
    <xf numFmtId="37" fontId="2" fillId="2" borderId="0" xfId="3" applyNumberFormat="1" applyFont="1" applyFill="1" applyBorder="1" applyAlignment="1" applyProtection="1">
      <alignment horizontal="center"/>
    </xf>
    <xf numFmtId="7" fontId="2" fillId="2" borderId="0" xfId="3" applyNumberFormat="1" applyFont="1" applyFill="1" applyBorder="1" applyAlignment="1" applyProtection="1">
      <alignment horizontal="center"/>
    </xf>
    <xf numFmtId="5" fontId="2" fillId="2" borderId="0" xfId="3" applyNumberFormat="1" applyFont="1" applyFill="1" applyBorder="1" applyProtection="1"/>
    <xf numFmtId="5" fontId="2" fillId="2" borderId="13" xfId="3" applyNumberFormat="1" applyFont="1" applyFill="1" applyBorder="1" applyProtection="1"/>
    <xf numFmtId="0" fontId="2" fillId="0" borderId="7" xfId="3" applyFont="1" applyBorder="1" applyAlignment="1" applyProtection="1">
      <alignment horizontal="centerContinuous"/>
    </xf>
    <xf numFmtId="0" fontId="6" fillId="0" borderId="0" xfId="3" applyFont="1" applyBorder="1"/>
    <xf numFmtId="0" fontId="6" fillId="0" borderId="0" xfId="3" applyFont="1" applyBorder="1" applyAlignment="1" applyProtection="1">
      <alignment horizontal="center"/>
    </xf>
    <xf numFmtId="5" fontId="6" fillId="0" borderId="0" xfId="3" applyNumberFormat="1" applyFont="1" applyBorder="1" applyProtection="1">
      <protection locked="0"/>
    </xf>
    <xf numFmtId="7" fontId="0" fillId="0" borderId="0" xfId="0" applyNumberFormat="1"/>
    <xf numFmtId="0" fontId="0" fillId="0" borderId="9" xfId="0" applyBorder="1" applyAlignment="1">
      <alignment horizontal="centerContinuous"/>
    </xf>
    <xf numFmtId="0" fontId="2" fillId="0" borderId="14" xfId="3" applyFont="1" applyBorder="1" applyAlignment="1" applyProtection="1">
      <alignment horizontal="left"/>
    </xf>
    <xf numFmtId="0" fontId="0" fillId="0" borderId="0" xfId="0" applyBorder="1"/>
    <xf numFmtId="0" fontId="2" fillId="0" borderId="0" xfId="3" applyFont="1" applyBorder="1" applyAlignment="1">
      <alignment horizontal="centerContinuous"/>
    </xf>
    <xf numFmtId="0" fontId="6" fillId="0" borderId="0" xfId="3" applyFont="1" applyBorder="1" applyAlignment="1">
      <alignment horizontal="centerContinuous"/>
    </xf>
    <xf numFmtId="168" fontId="2" fillId="0" borderId="0" xfId="1" applyNumberFormat="1" applyFont="1" applyBorder="1"/>
    <xf numFmtId="164" fontId="2" fillId="0" borderId="0" xfId="1" applyFont="1" applyBorder="1" applyAlignment="1" applyProtection="1">
      <alignment horizontal="left"/>
    </xf>
    <xf numFmtId="5" fontId="2" fillId="2" borderId="0" xfId="3" applyNumberFormat="1" applyFont="1" applyFill="1"/>
    <xf numFmtId="0" fontId="2" fillId="2" borderId="15" xfId="3" applyFont="1" applyFill="1" applyBorder="1" applyAlignment="1" applyProtection="1"/>
    <xf numFmtId="0" fontId="2" fillId="2" borderId="16" xfId="3" applyFont="1" applyFill="1" applyBorder="1" applyAlignment="1" applyProtection="1"/>
    <xf numFmtId="0" fontId="2" fillId="2" borderId="17" xfId="3" applyFont="1" applyFill="1" applyBorder="1" applyAlignment="1" applyProtection="1"/>
    <xf numFmtId="5" fontId="2" fillId="2" borderId="0" xfId="3" applyNumberFormat="1" applyFont="1" applyFill="1" applyProtection="1">
      <protection locked="0"/>
    </xf>
    <xf numFmtId="10" fontId="2" fillId="2" borderId="0" xfId="3" applyNumberFormat="1" applyFont="1" applyFill="1" applyProtection="1">
      <protection locked="0"/>
    </xf>
    <xf numFmtId="0" fontId="2" fillId="2" borderId="0" xfId="3" applyNumberFormat="1" applyFont="1" applyFill="1" applyProtection="1">
      <protection locked="0"/>
    </xf>
    <xf numFmtId="7" fontId="2" fillId="2" borderId="0" xfId="3" applyNumberFormat="1" applyFont="1" applyFill="1" applyProtection="1">
      <protection locked="0"/>
    </xf>
    <xf numFmtId="165" fontId="2" fillId="2" borderId="0" xfId="3" applyNumberFormat="1" applyFont="1" applyFill="1" applyProtection="1">
      <protection locked="0"/>
    </xf>
    <xf numFmtId="5" fontId="2" fillId="2" borderId="18" xfId="3" applyNumberFormat="1" applyFont="1" applyFill="1" applyBorder="1" applyProtection="1">
      <protection locked="0"/>
    </xf>
    <xf numFmtId="5" fontId="2" fillId="2" borderId="19" xfId="3" applyNumberFormat="1" applyFont="1" applyFill="1" applyBorder="1" applyProtection="1">
      <protection locked="0"/>
    </xf>
    <xf numFmtId="7" fontId="2" fillId="2" borderId="19" xfId="3" applyNumberFormat="1" applyFont="1" applyFill="1" applyBorder="1" applyProtection="1">
      <protection locked="0"/>
    </xf>
    <xf numFmtId="7" fontId="2" fillId="2" borderId="20" xfId="3" applyNumberFormat="1" applyFont="1" applyFill="1" applyBorder="1" applyProtection="1">
      <protection locked="0"/>
    </xf>
    <xf numFmtId="5" fontId="7" fillId="0" borderId="0" xfId="3" applyNumberFormat="1" applyFont="1" applyProtection="1">
      <protection locked="0"/>
    </xf>
    <xf numFmtId="5" fontId="8" fillId="0" borderId="0" xfId="3" applyNumberFormat="1" applyFont="1" applyProtection="1">
      <protection locked="0"/>
    </xf>
    <xf numFmtId="0" fontId="9" fillId="0" borderId="0" xfId="0" applyFont="1"/>
    <xf numFmtId="169" fontId="8" fillId="0" borderId="0" xfId="3" applyNumberFormat="1" applyFont="1" applyProtection="1">
      <protection locked="0"/>
    </xf>
    <xf numFmtId="0" fontId="10" fillId="0" borderId="3" xfId="0" applyFont="1" applyBorder="1" applyAlignment="1">
      <alignment horizontal="centerContinuous"/>
    </xf>
    <xf numFmtId="0" fontId="10" fillId="0" borderId="5" xfId="0" applyFont="1" applyBorder="1" applyAlignment="1">
      <alignment horizontal="centerContinuous"/>
    </xf>
    <xf numFmtId="0" fontId="0" fillId="3" borderId="21" xfId="0" applyFill="1" applyBorder="1"/>
    <xf numFmtId="0" fontId="0" fillId="3" borderId="22" xfId="0" applyFill="1" applyBorder="1"/>
    <xf numFmtId="0" fontId="0" fillId="3" borderId="23" xfId="0" applyFill="1" applyBorder="1"/>
    <xf numFmtId="0" fontId="0" fillId="3" borderId="24" xfId="0" applyFill="1" applyBorder="1"/>
    <xf numFmtId="0" fontId="10" fillId="3" borderId="25" xfId="0" applyFont="1" applyFill="1" applyBorder="1"/>
    <xf numFmtId="0" fontId="10" fillId="3" borderId="21" xfId="0" applyFont="1" applyFill="1" applyBorder="1"/>
    <xf numFmtId="0" fontId="10" fillId="3" borderId="26" xfId="0" applyFont="1" applyFill="1" applyBorder="1"/>
    <xf numFmtId="0" fontId="10" fillId="3" borderId="23" xfId="0" applyFont="1" applyFill="1" applyBorder="1"/>
    <xf numFmtId="0" fontId="1" fillId="2" borderId="0" xfId="0" applyFont="1" applyFill="1"/>
    <xf numFmtId="0" fontId="12" fillId="2" borderId="0" xfId="0" applyFont="1" applyFill="1" applyAlignment="1">
      <alignment vertical="center"/>
    </xf>
    <xf numFmtId="0" fontId="1" fillId="2" borderId="0" xfId="0" applyFont="1" applyFill="1" applyAlignment="1">
      <alignment vertical="center" wrapText="1"/>
    </xf>
    <xf numFmtId="0" fontId="1" fillId="2" borderId="0" xfId="0" applyFont="1" applyFill="1" applyBorder="1"/>
    <xf numFmtId="0" fontId="12" fillId="2" borderId="0" xfId="0" applyFont="1" applyFill="1" applyBorder="1" applyAlignment="1">
      <alignment vertical="center"/>
    </xf>
    <xf numFmtId="0" fontId="12" fillId="2" borderId="0" xfId="0" applyNumberFormat="1" applyFont="1" applyFill="1" applyAlignment="1" applyProtection="1">
      <alignment vertical="center"/>
    </xf>
    <xf numFmtId="0" fontId="0" fillId="2" borderId="0" xfId="0" applyFill="1" applyBorder="1" applyProtection="1"/>
    <xf numFmtId="0" fontId="15" fillId="2" borderId="0" xfId="0" applyFont="1" applyFill="1" applyBorder="1" applyProtection="1"/>
    <xf numFmtId="0" fontId="10" fillId="2" borderId="0" xfId="0" applyNumberFormat="1" applyFont="1" applyFill="1" applyBorder="1" applyAlignment="1" applyProtection="1">
      <alignment vertical="center" wrapText="1"/>
    </xf>
    <xf numFmtId="0" fontId="0" fillId="2" borderId="0" xfId="0" applyFill="1" applyBorder="1" applyAlignment="1" applyProtection="1">
      <alignment horizontal="center"/>
    </xf>
    <xf numFmtId="0" fontId="10" fillId="4" borderId="3" xfId="0" applyNumberFormat="1" applyFont="1" applyFill="1" applyBorder="1" applyAlignment="1" applyProtection="1">
      <alignment horizontal="left" vertical="center"/>
    </xf>
    <xf numFmtId="0" fontId="10" fillId="4" borderId="27" xfId="0" applyNumberFormat="1" applyFont="1" applyFill="1" applyBorder="1" applyAlignment="1" applyProtection="1">
      <alignment horizontal="center" vertical="center" wrapText="1"/>
    </xf>
    <xf numFmtId="0" fontId="10" fillId="4" borderId="28" xfId="0" applyNumberFormat="1" applyFont="1" applyFill="1" applyBorder="1" applyAlignment="1" applyProtection="1">
      <alignment horizontal="center" vertical="center" wrapText="1"/>
    </xf>
    <xf numFmtId="0" fontId="10" fillId="4" borderId="29" xfId="0" applyNumberFormat="1" applyFont="1" applyFill="1" applyBorder="1" applyAlignment="1" applyProtection="1">
      <alignment horizontal="center" vertical="center" wrapText="1"/>
    </xf>
    <xf numFmtId="0" fontId="18" fillId="2" borderId="0" xfId="0" applyFont="1" applyFill="1" applyBorder="1" applyAlignment="1" applyProtection="1">
      <alignment horizontal="left" vertical="center"/>
    </xf>
    <xf numFmtId="5" fontId="2" fillId="3" borderId="30" xfId="0" applyNumberFormat="1" applyFont="1" applyFill="1" applyBorder="1" applyAlignment="1" applyProtection="1">
      <alignment horizontal="right" vertical="center"/>
      <protection locked="0"/>
    </xf>
    <xf numFmtId="0" fontId="16" fillId="2" borderId="0" xfId="0" applyFont="1" applyFill="1"/>
    <xf numFmtId="170" fontId="11" fillId="5" borderId="30" xfId="0" applyNumberFormat="1" applyFont="1" applyFill="1" applyBorder="1" applyAlignment="1" applyProtection="1">
      <alignment horizontal="right" vertical="center"/>
      <protection locked="0"/>
    </xf>
    <xf numFmtId="0" fontId="10" fillId="4" borderId="31" xfId="0" applyNumberFormat="1" applyFont="1" applyFill="1" applyBorder="1" applyAlignment="1" applyProtection="1">
      <alignment horizontal="center" vertical="center" wrapText="1"/>
    </xf>
    <xf numFmtId="171" fontId="11" fillId="2" borderId="27" xfId="4" applyNumberFormat="1" applyFont="1" applyFill="1" applyBorder="1" applyAlignment="1" applyProtection="1">
      <alignment horizontal="center" vertical="center"/>
    </xf>
    <xf numFmtId="0" fontId="10" fillId="2" borderId="0" xfId="0" applyFont="1" applyFill="1" applyBorder="1" applyAlignment="1" applyProtection="1">
      <alignment horizontal="center"/>
    </xf>
    <xf numFmtId="0" fontId="5" fillId="2" borderId="0" xfId="0" applyFont="1" applyFill="1" applyBorder="1" applyAlignment="1" applyProtection="1">
      <alignment horizontal="center"/>
    </xf>
    <xf numFmtId="171" fontId="11" fillId="3" borderId="30" xfId="4" applyNumberFormat="1" applyFont="1" applyFill="1" applyBorder="1" applyAlignment="1" applyProtection="1">
      <alignment horizontal="center" vertical="center"/>
    </xf>
    <xf numFmtId="0" fontId="10" fillId="4" borderId="4" xfId="0" applyNumberFormat="1" applyFont="1" applyFill="1" applyBorder="1" applyAlignment="1" applyProtection="1">
      <alignment horizontal="left" vertical="center"/>
    </xf>
    <xf numFmtId="0" fontId="10" fillId="2" borderId="0" xfId="0" applyFont="1" applyFill="1" applyBorder="1" applyAlignment="1" applyProtection="1">
      <alignment horizontal="right"/>
    </xf>
    <xf numFmtId="2" fontId="11" fillId="2" borderId="29" xfId="4" applyNumberFormat="1" applyFont="1" applyFill="1" applyBorder="1" applyAlignment="1" applyProtection="1">
      <alignment horizontal="center" vertical="center"/>
    </xf>
    <xf numFmtId="2" fontId="11" fillId="2" borderId="32" xfId="4" applyNumberFormat="1" applyFont="1" applyFill="1" applyBorder="1" applyAlignment="1" applyProtection="1">
      <alignment horizontal="center" vertical="center"/>
    </xf>
    <xf numFmtId="170" fontId="0" fillId="2" borderId="27" xfId="0" applyNumberFormat="1" applyFill="1" applyBorder="1" applyAlignment="1" applyProtection="1">
      <alignment horizontal="center" vertical="center"/>
    </xf>
    <xf numFmtId="171" fontId="0" fillId="2" borderId="29" xfId="4" applyNumberFormat="1" applyFont="1" applyFill="1" applyBorder="1" applyAlignment="1" applyProtection="1">
      <alignment horizontal="center" vertical="center"/>
    </xf>
    <xf numFmtId="0" fontId="0" fillId="2" borderId="27" xfId="0" applyFill="1" applyBorder="1" applyAlignment="1" applyProtection="1">
      <alignment horizontal="center" vertical="center"/>
    </xf>
    <xf numFmtId="171" fontId="10" fillId="2" borderId="29" xfId="4" applyNumberFormat="1" applyFont="1" applyFill="1" applyBorder="1" applyAlignment="1" applyProtection="1">
      <alignment horizontal="center" vertical="center"/>
    </xf>
    <xf numFmtId="171" fontId="10" fillId="2" borderId="29" xfId="0" applyNumberFormat="1" applyFont="1" applyFill="1" applyBorder="1" applyAlignment="1" applyProtection="1">
      <alignment horizontal="center" vertical="center"/>
    </xf>
    <xf numFmtId="1" fontId="20" fillId="2" borderId="29" xfId="4" applyNumberFormat="1" applyFont="1" applyFill="1" applyBorder="1" applyAlignment="1" applyProtection="1">
      <alignment horizontal="center" vertical="center"/>
    </xf>
    <xf numFmtId="0" fontId="21" fillId="2" borderId="0" xfId="0" applyNumberFormat="1" applyFont="1" applyFill="1" applyAlignment="1" applyProtection="1">
      <alignment vertical="center"/>
    </xf>
    <xf numFmtId="0" fontId="0" fillId="2" borderId="0" xfId="0" applyFill="1" applyBorder="1" applyAlignment="1" applyProtection="1">
      <alignment vertical="center"/>
    </xf>
    <xf numFmtId="0" fontId="11" fillId="2" borderId="27" xfId="0" applyFont="1" applyFill="1" applyBorder="1" applyAlignment="1" applyProtection="1">
      <alignment horizontal="center"/>
    </xf>
    <xf numFmtId="10" fontId="11" fillId="2" borderId="28" xfId="0" applyNumberFormat="1" applyFont="1" applyFill="1" applyBorder="1" applyAlignment="1" applyProtection="1">
      <alignment horizontal="center"/>
    </xf>
    <xf numFmtId="2" fontId="11" fillId="2" borderId="28" xfId="0" applyNumberFormat="1" applyFont="1" applyFill="1" applyBorder="1" applyAlignment="1" applyProtection="1">
      <alignment horizontal="center"/>
      <protection locked="0"/>
    </xf>
    <xf numFmtId="3" fontId="11" fillId="2" borderId="28" xfId="0" applyNumberFormat="1" applyFont="1" applyFill="1" applyBorder="1" applyAlignment="1" applyProtection="1">
      <alignment horizontal="center"/>
    </xf>
    <xf numFmtId="0" fontId="10" fillId="4" borderId="33" xfId="0" applyFont="1" applyFill="1" applyBorder="1" applyAlignment="1" applyProtection="1">
      <alignment horizontal="center" vertical="center" wrapText="1"/>
    </xf>
    <xf numFmtId="0" fontId="10" fillId="4" borderId="33" xfId="0" applyFont="1" applyFill="1" applyBorder="1" applyAlignment="1">
      <alignment horizontal="center" vertical="center" wrapText="1"/>
    </xf>
    <xf numFmtId="0" fontId="10" fillId="4" borderId="34" xfId="0" applyFont="1" applyFill="1" applyBorder="1" applyAlignment="1">
      <alignment horizontal="center" vertical="center" wrapText="1"/>
    </xf>
    <xf numFmtId="0" fontId="11" fillId="6" borderId="28" xfId="0" applyFont="1" applyFill="1" applyBorder="1" applyAlignment="1" applyProtection="1">
      <alignment horizontal="center"/>
    </xf>
    <xf numFmtId="0" fontId="11" fillId="6" borderId="28" xfId="0" applyFont="1" applyFill="1" applyBorder="1" applyAlignment="1">
      <alignment horizontal="center"/>
    </xf>
    <xf numFmtId="0" fontId="11" fillId="6" borderId="29" xfId="0" applyFont="1" applyFill="1" applyBorder="1" applyAlignment="1">
      <alignment horizontal="center"/>
    </xf>
    <xf numFmtId="0" fontId="11" fillId="2" borderId="3" xfId="0" applyFont="1" applyFill="1" applyBorder="1" applyAlignment="1" applyProtection="1">
      <alignment horizontal="center"/>
    </xf>
    <xf numFmtId="7" fontId="11" fillId="6" borderId="35" xfId="0" applyNumberFormat="1" applyFont="1" applyFill="1" applyBorder="1" applyAlignment="1" applyProtection="1">
      <alignment horizontal="center"/>
    </xf>
    <xf numFmtId="0" fontId="11" fillId="6" borderId="36" xfId="0" applyFont="1" applyFill="1" applyBorder="1" applyAlignment="1" applyProtection="1">
      <alignment horizontal="center"/>
    </xf>
    <xf numFmtId="10" fontId="10" fillId="2" borderId="28" xfId="0" applyNumberFormat="1" applyFont="1" applyFill="1" applyBorder="1" applyAlignment="1" applyProtection="1">
      <alignment horizontal="center"/>
    </xf>
    <xf numFmtId="0" fontId="11" fillId="6" borderId="29" xfId="0" applyFont="1" applyFill="1" applyBorder="1" applyAlignment="1" applyProtection="1">
      <alignment horizontal="center"/>
    </xf>
    <xf numFmtId="2" fontId="10" fillId="7" borderId="29" xfId="0" applyNumberFormat="1" applyFont="1" applyFill="1" applyBorder="1" applyAlignment="1" applyProtection="1">
      <alignment horizontal="center"/>
      <protection locked="0"/>
    </xf>
    <xf numFmtId="2" fontId="11" fillId="2" borderId="35" xfId="0" applyNumberFormat="1" applyFont="1" applyFill="1" applyBorder="1" applyAlignment="1" applyProtection="1">
      <alignment horizontal="center"/>
      <protection locked="0"/>
    </xf>
    <xf numFmtId="0" fontId="10" fillId="4" borderId="36" xfId="0" applyNumberFormat="1" applyFont="1" applyFill="1" applyBorder="1" applyAlignment="1" applyProtection="1">
      <alignment horizontal="center" vertical="center" wrapText="1"/>
    </xf>
    <xf numFmtId="2" fontId="11" fillId="3" borderId="37" xfId="0" applyNumberFormat="1" applyFont="1" applyFill="1" applyBorder="1" applyAlignment="1" applyProtection="1">
      <alignment horizontal="center"/>
      <protection locked="0"/>
    </xf>
    <xf numFmtId="2" fontId="11" fillId="3" borderId="38" xfId="0" applyNumberFormat="1" applyFont="1" applyFill="1" applyBorder="1" applyAlignment="1" applyProtection="1">
      <alignment horizontal="center"/>
      <protection locked="0"/>
    </xf>
    <xf numFmtId="2" fontId="11" fillId="3" borderId="39" xfId="0" applyNumberFormat="1" applyFont="1" applyFill="1" applyBorder="1" applyAlignment="1" applyProtection="1">
      <alignment horizontal="center"/>
      <protection locked="0"/>
    </xf>
    <xf numFmtId="10" fontId="11" fillId="5" borderId="38" xfId="0" applyNumberFormat="1" applyFont="1" applyFill="1" applyBorder="1" applyAlignment="1" applyProtection="1">
      <alignment horizontal="center"/>
    </xf>
    <xf numFmtId="10" fontId="11" fillId="5" borderId="39" xfId="0" applyNumberFormat="1" applyFont="1" applyFill="1" applyBorder="1" applyAlignment="1" applyProtection="1">
      <alignment horizontal="center"/>
    </xf>
    <xf numFmtId="2" fontId="0" fillId="5" borderId="37" xfId="0" applyNumberFormat="1" applyFill="1" applyBorder="1" applyAlignment="1">
      <alignment horizontal="center"/>
    </xf>
    <xf numFmtId="2" fontId="0" fillId="5" borderId="38" xfId="0" applyNumberFormat="1" applyFill="1" applyBorder="1" applyAlignment="1">
      <alignment horizontal="center"/>
    </xf>
    <xf numFmtId="171" fontId="0" fillId="5" borderId="38" xfId="4" applyNumberFormat="1" applyFont="1" applyFill="1" applyBorder="1" applyAlignment="1">
      <alignment horizontal="center"/>
    </xf>
    <xf numFmtId="172" fontId="0" fillId="5" borderId="38" xfId="0" applyNumberFormat="1" applyFill="1" applyBorder="1" applyAlignment="1">
      <alignment horizontal="center"/>
    </xf>
    <xf numFmtId="171" fontId="0" fillId="5" borderId="39" xfId="4" applyNumberFormat="1" applyFont="1" applyFill="1" applyBorder="1" applyAlignment="1">
      <alignment horizontal="center"/>
    </xf>
    <xf numFmtId="174" fontId="11" fillId="3" borderId="30" xfId="4" applyNumberFormat="1" applyFont="1" applyFill="1" applyBorder="1" applyAlignment="1" applyProtection="1">
      <alignment horizontal="center" vertical="center"/>
    </xf>
    <xf numFmtId="173" fontId="11" fillId="5" borderId="38" xfId="4" applyNumberFormat="1" applyFont="1" applyFill="1" applyBorder="1" applyAlignment="1" applyProtection="1">
      <alignment horizontal="center" vertical="center"/>
    </xf>
    <xf numFmtId="175" fontId="11" fillId="3" borderId="37" xfId="0" applyNumberFormat="1" applyFont="1" applyFill="1" applyBorder="1" applyAlignment="1" applyProtection="1">
      <alignment horizontal="center"/>
      <protection locked="0"/>
    </xf>
    <xf numFmtId="175" fontId="11" fillId="3" borderId="38" xfId="0" applyNumberFormat="1" applyFont="1" applyFill="1" applyBorder="1" applyAlignment="1" applyProtection="1">
      <alignment horizontal="center"/>
      <protection locked="0"/>
    </xf>
    <xf numFmtId="175" fontId="11" fillId="3" borderId="39" xfId="0" applyNumberFormat="1" applyFont="1" applyFill="1" applyBorder="1" applyAlignment="1" applyProtection="1">
      <alignment horizontal="center"/>
      <protection locked="0"/>
    </xf>
    <xf numFmtId="175" fontId="10" fillId="2" borderId="35" xfId="0" applyNumberFormat="1" applyFont="1" applyFill="1" applyBorder="1" applyAlignment="1" applyProtection="1">
      <alignment horizontal="center"/>
    </xf>
    <xf numFmtId="176" fontId="11" fillId="2" borderId="28" xfId="0" applyNumberFormat="1" applyFont="1" applyFill="1" applyBorder="1" applyAlignment="1" applyProtection="1">
      <alignment horizontal="center"/>
    </xf>
    <xf numFmtId="176" fontId="11" fillId="2" borderId="29" xfId="0" applyNumberFormat="1" applyFont="1" applyFill="1" applyBorder="1" applyAlignment="1" applyProtection="1">
      <alignment horizontal="center"/>
    </xf>
    <xf numFmtId="176" fontId="11" fillId="2" borderId="32" xfId="0" applyNumberFormat="1" applyFont="1" applyFill="1" applyBorder="1" applyAlignment="1" applyProtection="1">
      <alignment horizontal="center"/>
    </xf>
    <xf numFmtId="176" fontId="11" fillId="2" borderId="41" xfId="0" applyNumberFormat="1" applyFont="1" applyFill="1" applyBorder="1" applyAlignment="1" applyProtection="1">
      <alignment horizontal="center"/>
    </xf>
    <xf numFmtId="176" fontId="10" fillId="2" borderId="32" xfId="0" applyNumberFormat="1" applyFont="1" applyFill="1" applyBorder="1" applyAlignment="1" applyProtection="1">
      <alignment horizontal="center"/>
    </xf>
    <xf numFmtId="176" fontId="10" fillId="2" borderId="29" xfId="0" applyNumberFormat="1" applyFont="1" applyFill="1" applyBorder="1" applyAlignment="1" applyProtection="1">
      <alignment horizontal="center"/>
    </xf>
    <xf numFmtId="176" fontId="11" fillId="5" borderId="37" xfId="0" applyNumberFormat="1" applyFont="1" applyFill="1" applyBorder="1" applyAlignment="1" applyProtection="1">
      <alignment horizontal="center"/>
    </xf>
    <xf numFmtId="176" fontId="11" fillId="5" borderId="38" xfId="0" applyNumberFormat="1" applyFont="1" applyFill="1" applyBorder="1" applyAlignment="1" applyProtection="1">
      <alignment horizontal="center"/>
    </xf>
    <xf numFmtId="175" fontId="0" fillId="2" borderId="27" xfId="0" applyNumberFormat="1" applyFill="1" applyBorder="1" applyAlignment="1" applyProtection="1">
      <alignment horizontal="center" vertical="center"/>
    </xf>
    <xf numFmtId="0" fontId="23" fillId="0" borderId="0" xfId="0" applyFont="1"/>
    <xf numFmtId="49" fontId="10" fillId="0" borderId="0" xfId="0" applyNumberFormat="1" applyFont="1" applyAlignment="1">
      <alignment wrapText="1"/>
    </xf>
    <xf numFmtId="9" fontId="0" fillId="0" borderId="0" xfId="4" applyFont="1" applyAlignment="1">
      <alignment horizontal="right"/>
    </xf>
    <xf numFmtId="9" fontId="11" fillId="0" borderId="0" xfId="4" applyFont="1" applyAlignment="1">
      <alignment horizontal="right"/>
    </xf>
    <xf numFmtId="9" fontId="23" fillId="0" borderId="0" xfId="4" applyFont="1" applyAlignment="1">
      <alignment horizontal="right"/>
    </xf>
    <xf numFmtId="49" fontId="10" fillId="0" borderId="0" xfId="0" applyNumberFormat="1" applyFont="1" applyAlignment="1">
      <alignment horizontal="right" wrapText="1"/>
    </xf>
    <xf numFmtId="0" fontId="11" fillId="0" borderId="0" xfId="0" applyFont="1" applyAlignment="1">
      <alignment horizontal="right"/>
    </xf>
    <xf numFmtId="0" fontId="25" fillId="0" borderId="0" xfId="0" quotePrefix="1" applyFont="1"/>
    <xf numFmtId="0" fontId="27" fillId="0" borderId="0" xfId="2" applyFont="1" applyAlignment="1" applyProtection="1"/>
    <xf numFmtId="0" fontId="28" fillId="0" borderId="0" xfId="0" quotePrefix="1" applyFont="1" applyAlignment="1">
      <alignment wrapText="1"/>
    </xf>
    <xf numFmtId="0" fontId="29" fillId="0" borderId="0" xfId="0" applyFont="1"/>
    <xf numFmtId="9" fontId="29" fillId="0" borderId="0" xfId="0" applyNumberFormat="1" applyFont="1"/>
    <xf numFmtId="0" fontId="24" fillId="0" borderId="0" xfId="0" applyFont="1" applyAlignment="1">
      <alignment horizontal="left" vertical="center" wrapText="1"/>
    </xf>
    <xf numFmtId="0" fontId="30" fillId="0" borderId="0" xfId="0" applyFont="1" applyAlignment="1">
      <alignment horizontal="center" vertical="center"/>
    </xf>
    <xf numFmtId="0" fontId="19" fillId="0" borderId="0" xfId="2" applyAlignment="1" applyProtection="1">
      <alignment horizontal="left" vertical="center" wrapText="1"/>
    </xf>
    <xf numFmtId="0" fontId="31" fillId="0" borderId="0" xfId="0" applyFont="1" applyAlignment="1">
      <alignment horizontal="left" vertical="center" wrapText="1"/>
    </xf>
    <xf numFmtId="0" fontId="34" fillId="0" borderId="0" xfId="0" applyFont="1"/>
    <xf numFmtId="0" fontId="1" fillId="4" borderId="7" xfId="0" applyFont="1" applyFill="1" applyBorder="1" applyAlignment="1">
      <alignment horizontal="left" vertical="center" wrapText="1"/>
    </xf>
    <xf numFmtId="0" fontId="1" fillId="4" borderId="8" xfId="0" applyFont="1" applyFill="1" applyBorder="1" applyAlignment="1">
      <alignment horizontal="left" vertical="center" wrapText="1"/>
    </xf>
    <xf numFmtId="0" fontId="1" fillId="4" borderId="9" xfId="0" applyFont="1" applyFill="1" applyBorder="1" applyAlignment="1">
      <alignment horizontal="left" vertical="center" wrapText="1"/>
    </xf>
    <xf numFmtId="0" fontId="1" fillId="4" borderId="42" xfId="0" applyFont="1" applyFill="1" applyBorder="1" applyAlignment="1">
      <alignment horizontal="left" vertical="center" wrapText="1"/>
    </xf>
    <xf numFmtId="0" fontId="1" fillId="4" borderId="6" xfId="0" applyFont="1" applyFill="1" applyBorder="1" applyAlignment="1">
      <alignment horizontal="left" vertical="center" wrapText="1"/>
    </xf>
    <xf numFmtId="0" fontId="1" fillId="4" borderId="43" xfId="0" applyFont="1" applyFill="1" applyBorder="1" applyAlignment="1">
      <alignment horizontal="left" vertical="center" wrapText="1"/>
    </xf>
    <xf numFmtId="0" fontId="13" fillId="8" borderId="12" xfId="0" applyFont="1" applyFill="1" applyBorder="1" applyAlignment="1">
      <alignment horizontal="center" vertical="center"/>
    </xf>
    <xf numFmtId="0" fontId="13" fillId="8" borderId="0" xfId="0" applyFont="1" applyFill="1" applyBorder="1" applyAlignment="1">
      <alignment horizontal="center" vertical="center"/>
    </xf>
    <xf numFmtId="0" fontId="14" fillId="8" borderId="12" xfId="0" applyFont="1" applyFill="1" applyBorder="1" applyAlignment="1">
      <alignment horizontal="center" vertical="center"/>
    </xf>
    <xf numFmtId="0" fontId="14" fillId="8" borderId="0" xfId="0" applyFont="1" applyFill="1" applyBorder="1" applyAlignment="1">
      <alignment horizontal="center" vertical="center"/>
    </xf>
    <xf numFmtId="0" fontId="10" fillId="4" borderId="44" xfId="0" applyNumberFormat="1" applyFont="1" applyFill="1" applyBorder="1" applyAlignment="1" applyProtection="1">
      <alignment horizontal="left" vertical="center"/>
    </xf>
    <xf numFmtId="0" fontId="10" fillId="4" borderId="4" xfId="0" applyNumberFormat="1" applyFont="1" applyFill="1" applyBorder="1" applyAlignment="1" applyProtection="1">
      <alignment horizontal="left" vertical="center"/>
    </xf>
    <xf numFmtId="0" fontId="10" fillId="4" borderId="5" xfId="0" applyNumberFormat="1" applyFont="1" applyFill="1" applyBorder="1" applyAlignment="1" applyProtection="1">
      <alignment horizontal="left" vertical="center"/>
    </xf>
    <xf numFmtId="0" fontId="10" fillId="4" borderId="3" xfId="0" applyNumberFormat="1" applyFont="1" applyFill="1" applyBorder="1" applyAlignment="1" applyProtection="1">
      <alignment horizontal="left" vertical="center"/>
    </xf>
    <xf numFmtId="0" fontId="10" fillId="4" borderId="45" xfId="0" applyNumberFormat="1" applyFont="1" applyFill="1" applyBorder="1" applyAlignment="1" applyProtection="1">
      <alignment horizontal="left" vertical="center"/>
    </xf>
    <xf numFmtId="0" fontId="10" fillId="4" borderId="36" xfId="0" applyFont="1" applyFill="1" applyBorder="1" applyAlignment="1">
      <alignment horizontal="center" vertical="center" wrapText="1"/>
    </xf>
    <xf numFmtId="0" fontId="10" fillId="4" borderId="32" xfId="0" applyFont="1" applyFill="1" applyBorder="1" applyAlignment="1">
      <alignment horizontal="center" vertical="center" wrapText="1"/>
    </xf>
    <xf numFmtId="0" fontId="10" fillId="4" borderId="31" xfId="0" applyFont="1" applyFill="1" applyBorder="1" applyAlignment="1" applyProtection="1">
      <alignment horizontal="center" vertical="center" wrapText="1"/>
    </xf>
    <xf numFmtId="0" fontId="10" fillId="4" borderId="40" xfId="0" applyFont="1" applyFill="1" applyBorder="1" applyAlignment="1" applyProtection="1">
      <alignment horizontal="center" vertical="center" wrapText="1"/>
    </xf>
    <xf numFmtId="0" fontId="10" fillId="4" borderId="36" xfId="0" applyFont="1" applyFill="1" applyBorder="1" applyAlignment="1" applyProtection="1">
      <alignment horizontal="center" vertical="center" wrapText="1"/>
    </xf>
    <xf numFmtId="0" fontId="10" fillId="4" borderId="33" xfId="0" applyFont="1" applyFill="1" applyBorder="1" applyAlignment="1" applyProtection="1">
      <alignment horizontal="center" vertical="center" wrapText="1"/>
    </xf>
  </cellXfs>
  <cellStyles count="5">
    <cellStyle name="Currency_Model" xfId="1" xr:uid="{00000000-0005-0000-0000-000000000000}"/>
    <cellStyle name="Hyperlink" xfId="2" builtinId="8"/>
    <cellStyle name="Normal" xfId="0" builtinId="0"/>
    <cellStyle name="Normal_VALUE" xfId="3" xr:uid="{00000000-0005-0000-0000-000003000000}"/>
    <cellStyle name="Percent" xfId="4" builtinId="5"/>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6.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chartsheet" Target="chartsheets/sheet2.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hartsheet" Target="chartsheets/sheet1.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scatterChart>
        <c:scatterStyle val="lineMarker"/>
        <c:varyColors val="0"/>
        <c:ser>
          <c:idx val="0"/>
          <c:order val="0"/>
          <c:tx>
            <c:strRef>
              <c:f>'ADBUDG Model'!$B$11</c:f>
              <c:strCache>
                <c:ptCount val="1"/>
                <c:pt idx="0">
                  <c:v>Y</c:v>
                </c:pt>
              </c:strCache>
            </c:strRef>
          </c:tx>
          <c:spPr>
            <a:ln w="19050" cap="rnd">
              <a:noFill/>
              <a:round/>
            </a:ln>
            <a:effectLst/>
          </c:spPr>
          <c:marker>
            <c:symbol val="circle"/>
            <c:size val="5"/>
            <c:spPr>
              <a:solidFill>
                <a:schemeClr val="accent1"/>
              </a:solidFill>
              <a:ln w="9525">
                <a:solidFill>
                  <a:schemeClr val="accent1"/>
                </a:solidFill>
              </a:ln>
              <a:effectLst/>
            </c:spPr>
          </c:marker>
          <c:xVal>
            <c:numRef>
              <c:f>'ADBUDG Model'!$A$12:$A$140</c:f>
              <c:numCache>
                <c:formatCode>General</c:formatCode>
                <c:ptCount val="129"/>
                <c:pt idx="0">
                  <c:v>0.4</c:v>
                </c:pt>
                <c:pt idx="1">
                  <c:v>0.5</c:v>
                </c:pt>
                <c:pt idx="2">
                  <c:v>0.6</c:v>
                </c:pt>
                <c:pt idx="3">
                  <c:v>0.7</c:v>
                </c:pt>
                <c:pt idx="4">
                  <c:v>0.8</c:v>
                </c:pt>
                <c:pt idx="5">
                  <c:v>0.9</c:v>
                </c:pt>
                <c:pt idx="6">
                  <c:v>1</c:v>
                </c:pt>
                <c:pt idx="7">
                  <c:v>1.1000000000000001</c:v>
                </c:pt>
                <c:pt idx="8">
                  <c:v>1.2</c:v>
                </c:pt>
                <c:pt idx="9">
                  <c:v>1.3</c:v>
                </c:pt>
                <c:pt idx="10">
                  <c:v>1.4</c:v>
                </c:pt>
                <c:pt idx="11">
                  <c:v>1.5</c:v>
                </c:pt>
                <c:pt idx="12">
                  <c:v>1.6</c:v>
                </c:pt>
                <c:pt idx="13">
                  <c:v>1.7</c:v>
                </c:pt>
                <c:pt idx="14">
                  <c:v>1.8</c:v>
                </c:pt>
                <c:pt idx="15">
                  <c:v>1.9</c:v>
                </c:pt>
                <c:pt idx="16">
                  <c:v>2</c:v>
                </c:pt>
                <c:pt idx="17">
                  <c:v>2.1</c:v>
                </c:pt>
                <c:pt idx="18">
                  <c:v>2.2000000000000002</c:v>
                </c:pt>
                <c:pt idx="19">
                  <c:v>2.2999999999999998</c:v>
                </c:pt>
                <c:pt idx="20">
                  <c:v>2.4</c:v>
                </c:pt>
                <c:pt idx="21">
                  <c:v>2.5</c:v>
                </c:pt>
                <c:pt idx="22">
                  <c:v>2.6</c:v>
                </c:pt>
                <c:pt idx="23">
                  <c:v>2.7</c:v>
                </c:pt>
                <c:pt idx="24">
                  <c:v>2.8</c:v>
                </c:pt>
                <c:pt idx="25">
                  <c:v>2.9</c:v>
                </c:pt>
                <c:pt idx="26">
                  <c:v>3</c:v>
                </c:pt>
                <c:pt idx="27">
                  <c:v>3.1</c:v>
                </c:pt>
                <c:pt idx="28">
                  <c:v>3.2</c:v>
                </c:pt>
                <c:pt idx="29">
                  <c:v>3.3</c:v>
                </c:pt>
                <c:pt idx="30">
                  <c:v>3.4</c:v>
                </c:pt>
                <c:pt idx="31">
                  <c:v>3.5</c:v>
                </c:pt>
                <c:pt idx="32">
                  <c:v>3.6</c:v>
                </c:pt>
                <c:pt idx="33">
                  <c:v>3.7</c:v>
                </c:pt>
                <c:pt idx="34">
                  <c:v>3.8</c:v>
                </c:pt>
                <c:pt idx="35">
                  <c:v>3.9</c:v>
                </c:pt>
                <c:pt idx="36">
                  <c:v>4</c:v>
                </c:pt>
                <c:pt idx="37">
                  <c:v>4.0999999999999996</c:v>
                </c:pt>
                <c:pt idx="38">
                  <c:v>4.2</c:v>
                </c:pt>
                <c:pt idx="39">
                  <c:v>4.3</c:v>
                </c:pt>
                <c:pt idx="40">
                  <c:v>4.4000000000000004</c:v>
                </c:pt>
                <c:pt idx="41">
                  <c:v>4.5</c:v>
                </c:pt>
                <c:pt idx="42">
                  <c:v>4.5999999999999996</c:v>
                </c:pt>
                <c:pt idx="43">
                  <c:v>4.7</c:v>
                </c:pt>
                <c:pt idx="44">
                  <c:v>4.8</c:v>
                </c:pt>
                <c:pt idx="45">
                  <c:v>4.9000000000000004</c:v>
                </c:pt>
                <c:pt idx="46">
                  <c:v>5</c:v>
                </c:pt>
                <c:pt idx="47">
                  <c:v>5.0999999999999996</c:v>
                </c:pt>
                <c:pt idx="48">
                  <c:v>5.2</c:v>
                </c:pt>
                <c:pt idx="49">
                  <c:v>5.3</c:v>
                </c:pt>
                <c:pt idx="50">
                  <c:v>5.4</c:v>
                </c:pt>
                <c:pt idx="51">
                  <c:v>5.5</c:v>
                </c:pt>
                <c:pt idx="52">
                  <c:v>5.6</c:v>
                </c:pt>
                <c:pt idx="53">
                  <c:v>5.7</c:v>
                </c:pt>
                <c:pt idx="54">
                  <c:v>5.8</c:v>
                </c:pt>
                <c:pt idx="55">
                  <c:v>5.9</c:v>
                </c:pt>
                <c:pt idx="56">
                  <c:v>6</c:v>
                </c:pt>
                <c:pt idx="57">
                  <c:v>6.1</c:v>
                </c:pt>
                <c:pt idx="58">
                  <c:v>6.2</c:v>
                </c:pt>
                <c:pt idx="59">
                  <c:v>6.3</c:v>
                </c:pt>
                <c:pt idx="60">
                  <c:v>6.4</c:v>
                </c:pt>
                <c:pt idx="61">
                  <c:v>6.5</c:v>
                </c:pt>
                <c:pt idx="62">
                  <c:v>6.6</c:v>
                </c:pt>
                <c:pt idx="63">
                  <c:v>6.7</c:v>
                </c:pt>
                <c:pt idx="64">
                  <c:v>6.8</c:v>
                </c:pt>
                <c:pt idx="65">
                  <c:v>6.9</c:v>
                </c:pt>
                <c:pt idx="66">
                  <c:v>7</c:v>
                </c:pt>
                <c:pt idx="67">
                  <c:v>7.1</c:v>
                </c:pt>
                <c:pt idx="68">
                  <c:v>7.2</c:v>
                </c:pt>
                <c:pt idx="69">
                  <c:v>7.3</c:v>
                </c:pt>
                <c:pt idx="70">
                  <c:v>7.4</c:v>
                </c:pt>
                <c:pt idx="71">
                  <c:v>7.5</c:v>
                </c:pt>
                <c:pt idx="72">
                  <c:v>7.6</c:v>
                </c:pt>
                <c:pt idx="73">
                  <c:v>7.7</c:v>
                </c:pt>
                <c:pt idx="74">
                  <c:v>7.8</c:v>
                </c:pt>
                <c:pt idx="75">
                  <c:v>7.9</c:v>
                </c:pt>
                <c:pt idx="76">
                  <c:v>8</c:v>
                </c:pt>
                <c:pt idx="77">
                  <c:v>8.1</c:v>
                </c:pt>
                <c:pt idx="78">
                  <c:v>8.1999999999999993</c:v>
                </c:pt>
                <c:pt idx="79">
                  <c:v>8.3000000000000007</c:v>
                </c:pt>
                <c:pt idx="80">
                  <c:v>8.4</c:v>
                </c:pt>
                <c:pt idx="81">
                  <c:v>8.5</c:v>
                </c:pt>
                <c:pt idx="82">
                  <c:v>8.6</c:v>
                </c:pt>
                <c:pt idx="83">
                  <c:v>8.6999999999999993</c:v>
                </c:pt>
                <c:pt idx="84">
                  <c:v>8.8000000000000007</c:v>
                </c:pt>
                <c:pt idx="85">
                  <c:v>8.9</c:v>
                </c:pt>
                <c:pt idx="86">
                  <c:v>9</c:v>
                </c:pt>
                <c:pt idx="87">
                  <c:v>9.1</c:v>
                </c:pt>
                <c:pt idx="88">
                  <c:v>9.1999999999999993</c:v>
                </c:pt>
                <c:pt idx="89">
                  <c:v>9.3000000000000007</c:v>
                </c:pt>
                <c:pt idx="90">
                  <c:v>9.4</c:v>
                </c:pt>
                <c:pt idx="91">
                  <c:v>9.5</c:v>
                </c:pt>
                <c:pt idx="92">
                  <c:v>9.6</c:v>
                </c:pt>
                <c:pt idx="93">
                  <c:v>9.6999999999999993</c:v>
                </c:pt>
                <c:pt idx="94">
                  <c:v>9.8000000000000007</c:v>
                </c:pt>
                <c:pt idx="95">
                  <c:v>9.9</c:v>
                </c:pt>
                <c:pt idx="96">
                  <c:v>10</c:v>
                </c:pt>
                <c:pt idx="97">
                  <c:v>10.1</c:v>
                </c:pt>
                <c:pt idx="98">
                  <c:v>10.199999999999999</c:v>
                </c:pt>
                <c:pt idx="99">
                  <c:v>10.3</c:v>
                </c:pt>
                <c:pt idx="100">
                  <c:v>10.4</c:v>
                </c:pt>
                <c:pt idx="101">
                  <c:v>10.5</c:v>
                </c:pt>
                <c:pt idx="102">
                  <c:v>10.6</c:v>
                </c:pt>
                <c:pt idx="103">
                  <c:v>10.7</c:v>
                </c:pt>
                <c:pt idx="104">
                  <c:v>10.8</c:v>
                </c:pt>
                <c:pt idx="105">
                  <c:v>10.9</c:v>
                </c:pt>
                <c:pt idx="106">
                  <c:v>11</c:v>
                </c:pt>
                <c:pt idx="107">
                  <c:v>11.1</c:v>
                </c:pt>
                <c:pt idx="108">
                  <c:v>11.2</c:v>
                </c:pt>
                <c:pt idx="109">
                  <c:v>11.3</c:v>
                </c:pt>
                <c:pt idx="110">
                  <c:v>11.4</c:v>
                </c:pt>
                <c:pt idx="111">
                  <c:v>11.5</c:v>
                </c:pt>
                <c:pt idx="112">
                  <c:v>11.6</c:v>
                </c:pt>
                <c:pt idx="113">
                  <c:v>11.7</c:v>
                </c:pt>
                <c:pt idx="114">
                  <c:v>11.8</c:v>
                </c:pt>
                <c:pt idx="115">
                  <c:v>11.9</c:v>
                </c:pt>
                <c:pt idx="116">
                  <c:v>12</c:v>
                </c:pt>
                <c:pt idx="117">
                  <c:v>12.1</c:v>
                </c:pt>
                <c:pt idx="118">
                  <c:v>12.2</c:v>
                </c:pt>
                <c:pt idx="119">
                  <c:v>12.3</c:v>
                </c:pt>
                <c:pt idx="120">
                  <c:v>12.4</c:v>
                </c:pt>
                <c:pt idx="121">
                  <c:v>12.5</c:v>
                </c:pt>
                <c:pt idx="122">
                  <c:v>12.6</c:v>
                </c:pt>
                <c:pt idx="123">
                  <c:v>12.7</c:v>
                </c:pt>
                <c:pt idx="124">
                  <c:v>12.8</c:v>
                </c:pt>
                <c:pt idx="125">
                  <c:v>12.9</c:v>
                </c:pt>
                <c:pt idx="126">
                  <c:v>13</c:v>
                </c:pt>
                <c:pt idx="127">
                  <c:v>13.1</c:v>
                </c:pt>
                <c:pt idx="128">
                  <c:v>13.2</c:v>
                </c:pt>
              </c:numCache>
            </c:numRef>
          </c:xVal>
          <c:yVal>
            <c:numRef>
              <c:f>'ADBUDG Model'!$B$12:$B$140</c:f>
              <c:numCache>
                <c:formatCode>0%</c:formatCode>
                <c:ptCount val="129"/>
                <c:pt idx="0">
                  <c:v>5.0091055168342474E-2</c:v>
                </c:pt>
                <c:pt idx="1">
                  <c:v>5.01987859304091E-2</c:v>
                </c:pt>
                <c:pt idx="2">
                  <c:v>5.0376139316488704E-2</c:v>
                </c:pt>
                <c:pt idx="3">
                  <c:v>5.0644767217086495E-2</c:v>
                </c:pt>
                <c:pt idx="4">
                  <c:v>5.1028026217850006E-2</c:v>
                </c:pt>
                <c:pt idx="5">
                  <c:v>5.1550715482062553E-2</c:v>
                </c:pt>
                <c:pt idx="6">
                  <c:v>5.2238805970149259E-2</c:v>
                </c:pt>
                <c:pt idx="7">
                  <c:v>5.3119149189166624E-2</c:v>
                </c:pt>
                <c:pt idx="8">
                  <c:v>5.4219157773288312E-2</c:v>
                </c:pt>
                <c:pt idx="9">
                  <c:v>5.5566453305220948E-2</c:v>
                </c:pt>
                <c:pt idx="10">
                  <c:v>5.7188479531210951E-2</c:v>
                </c:pt>
                <c:pt idx="11">
                  <c:v>5.9112081781750328E-2</c:v>
                </c:pt>
                <c:pt idx="12">
                  <c:v>6.1363056096306628E-2</c:v>
                </c:pt>
                <c:pt idx="13">
                  <c:v>6.3965674271037096E-2</c:v>
                </c:pt>
                <c:pt idx="14">
                  <c:v>6.6942193740436154E-2</c:v>
                </c:pt>
                <c:pt idx="15">
                  <c:v>7.0312363751280929E-2</c:v>
                </c:pt>
                <c:pt idx="16">
                  <c:v>7.4092941535629731E-2</c:v>
                </c:pt>
                <c:pt idx="17">
                  <c:v>7.8297233961403298E-2</c:v>
                </c:pt>
                <c:pt idx="18">
                  <c:v>8.2934681251689887E-2</c:v>
                </c:pt>
                <c:pt idx="19">
                  <c:v>8.801049965078428E-2</c:v>
                </c:pt>
                <c:pt idx="20">
                  <c:v>9.3525399247845253E-2</c:v>
                </c:pt>
                <c:pt idx="21">
                  <c:v>9.947539147939094E-2</c:v>
                </c:pt>
                <c:pt idx="22">
                  <c:v>0.10585169812827683</c:v>
                </c:pt>
                <c:pt idx="23">
                  <c:v>0.11264077001557786</c:v>
                </c:pt>
                <c:pt idx="24">
                  <c:v>0.119824419227721</c:v>
                </c:pt>
                <c:pt idx="25">
                  <c:v>0.12738006389759537</c:v>
                </c:pt>
                <c:pt idx="26">
                  <c:v>0.13528107958618391</c:v>
                </c:pt>
                <c:pt idx="27">
                  <c:v>0.14349724653961765</c:v>
                </c:pt>
                <c:pt idx="28">
                  <c:v>0.1519952778678616</c:v>
                </c:pt>
                <c:pt idx="29">
                  <c:v>0.16073941030597677</c:v>
                </c:pt>
                <c:pt idx="30">
                  <c:v>0.16969203690473816</c:v>
                </c:pt>
                <c:pt idx="31">
                  <c:v>0.17881435988715649</c:v>
                </c:pt>
                <c:pt idx="32">
                  <c:v>0.18806704202878383</c:v>
                </c:pt>
                <c:pt idx="33">
                  <c:v>0.19741083619733402</c:v>
                </c:pt>
                <c:pt idx="34">
                  <c:v>0.20680717495705309</c:v>
                </c:pt>
                <c:pt idx="35">
                  <c:v>0.21621870517552655</c:v>
                </c:pt>
                <c:pt idx="36">
                  <c:v>0.22560975609756095</c:v>
                </c:pt>
                <c:pt idx="37">
                  <c:v>0.23494673309619946</c:v>
                </c:pt>
                <c:pt idx="38">
                  <c:v>0.24419843301617522</c:v>
                </c:pt>
                <c:pt idx="39">
                  <c:v>0.25333628046985368</c:v>
                </c:pt>
                <c:pt idx="40">
                  <c:v>0.26233448746128857</c:v>
                </c:pt>
                <c:pt idx="41">
                  <c:v>0.27117014118929827</c:v>
                </c:pt>
                <c:pt idx="42">
                  <c:v>0.27982322676098764</c:v>
                </c:pt>
                <c:pt idx="43">
                  <c:v>0.2882765928287977</c:v>
                </c:pt>
                <c:pt idx="44">
                  <c:v>0.29651586888361309</c:v>
                </c:pt>
                <c:pt idx="45">
                  <c:v>0.30452934315968705</c:v>
                </c:pt>
                <c:pt idx="46">
                  <c:v>0.31230780991809481</c:v>
                </c:pt>
                <c:pt idx="47">
                  <c:v>0.31984439436576312</c:v>
                </c:pt>
                <c:pt idx="48">
                  <c:v>0.32713436272768387</c:v>
                </c:pt>
                <c:pt idx="49">
                  <c:v>0.3341749241046485</c:v>
                </c:pt>
                <c:pt idx="50">
                  <c:v>0.34096502979056753</c:v>
                </c:pt>
                <c:pt idx="51">
                  <c:v>0.34750517475194043</c:v>
                </c:pt>
                <c:pt idx="52">
                  <c:v>0.35379720503337497</c:v>
                </c:pt>
                <c:pt idx="53">
                  <c:v>0.35984413398032022</c:v>
                </c:pt>
                <c:pt idx="54">
                  <c:v>0.36564996938484984</c:v>
                </c:pt>
                <c:pt idx="55">
                  <c:v>0.37121955297412901</c:v>
                </c:pt>
                <c:pt idx="56">
                  <c:v>0.37655841307805005</c:v>
                </c:pt>
                <c:pt idx="57">
                  <c:v>0.38167263083047204</c:v>
                </c:pt>
                <c:pt idx="58">
                  <c:v>0.38656871987146618</c:v>
                </c:pt>
                <c:pt idx="59">
                  <c:v>0.39125351921720203</c:v>
                </c:pt>
                <c:pt idx="60">
                  <c:v>0.39573409873942172</c:v>
                </c:pt>
                <c:pt idx="61">
                  <c:v>0.40001767653709341</c:v>
                </c:pt>
                <c:pt idx="62">
                  <c:v>0.40411154737826516</c:v>
                </c:pt>
                <c:pt idx="63">
                  <c:v>0.40802302133036061</c:v>
                </c:pt>
                <c:pt idx="64">
                  <c:v>0.41175937167313764</c:v>
                </c:pt>
                <c:pt idx="65">
                  <c:v>0.4153277911922505</c:v>
                </c:pt>
                <c:pt idx="66">
                  <c:v>0.41873535597591466</c:v>
                </c:pt>
                <c:pt idx="67">
                  <c:v>0.42198899587677746</c:v>
                </c:pt>
                <c:pt idx="68">
                  <c:v>0.42509547085092941</c:v>
                </c:pt>
                <c:pt idx="69">
                  <c:v>0.42806135244219762</c:v>
                </c:pt>
                <c:pt idx="70">
                  <c:v>0.43089300973937661</c:v>
                </c:pt>
                <c:pt idx="71">
                  <c:v>0.43359659919451521</c:v>
                </c:pt>
                <c:pt idx="72">
                  <c:v>0.43617805775002388</c:v>
                </c:pt>
                <c:pt idx="73">
                  <c:v>0.43864309877990704</c:v>
                </c:pt>
                <c:pt idx="74">
                  <c:v>0.44099721040498507</c:v>
                </c:pt>
                <c:pt idx="75">
                  <c:v>0.44324565579296688</c:v>
                </c:pt>
                <c:pt idx="76">
                  <c:v>0.44539347510135152</c:v>
                </c:pt>
                <c:pt idx="77">
                  <c:v>0.44744548876424373</c:v>
                </c:pt>
                <c:pt idx="78">
                  <c:v>0.44940630186325847</c:v>
                </c:pt>
                <c:pt idx="79">
                  <c:v>0.45128030935789137</c:v>
                </c:pt>
                <c:pt idx="80">
                  <c:v>0.45307170198219993</c:v>
                </c:pt>
                <c:pt idx="81">
                  <c:v>0.45478447264262678</c:v>
                </c:pt>
                <c:pt idx="82">
                  <c:v>0.45642242317653331</c:v>
                </c:pt>
                <c:pt idx="83">
                  <c:v>0.45798917135277806</c:v>
                </c:pt>
                <c:pt idx="84">
                  <c:v>0.45948815801473031</c:v>
                </c:pt>
                <c:pt idx="85">
                  <c:v>0.46092265428272461</c:v>
                </c:pt>
                <c:pt idx="86">
                  <c:v>0.46229576874738165</c:v>
                </c:pt>
                <c:pt idx="87">
                  <c:v>0.46361045459768463</c:v>
                </c:pt>
                <c:pt idx="88">
                  <c:v>0.46486951663843157</c:v>
                </c:pt>
                <c:pt idx="89">
                  <c:v>0.46607561816088078</c:v>
                </c:pt>
                <c:pt idx="90">
                  <c:v>0.46723128763825578</c:v>
                </c:pt>
                <c:pt idx="91">
                  <c:v>0.46833892522444653</c:v>
                </c:pt>
                <c:pt idx="92">
                  <c:v>0.46940080903988335</c:v>
                </c:pt>
                <c:pt idx="93">
                  <c:v>0.47041910123330555</c:v>
                </c:pt>
                <c:pt idx="94">
                  <c:v>0.47139585381211274</c:v>
                </c:pt>
                <c:pt idx="95">
                  <c:v>0.47233301423728963</c:v>
                </c:pt>
                <c:pt idx="96">
                  <c:v>0.47323243078161104</c:v>
                </c:pt>
                <c:pt idx="97">
                  <c:v>0.47409585765206574</c:v>
                </c:pt>
                <c:pt idx="98">
                  <c:v>0.47492495987923566</c:v>
                </c:pt>
                <c:pt idx="99">
                  <c:v>0.47572131797781192</c:v>
                </c:pt>
                <c:pt idx="100">
                  <c:v>0.47648643238356214</c:v>
                </c:pt>
                <c:pt idx="101">
                  <c:v>0.47722172767294158</c:v>
                </c:pt>
                <c:pt idx="102">
                  <c:v>0.47792855657219541</c:v>
                </c:pt>
                <c:pt idx="103">
                  <c:v>0.47860820376327423</c:v>
                </c:pt>
                <c:pt idx="104">
                  <c:v>0.47926188949420656</c:v>
                </c:pt>
                <c:pt idx="105">
                  <c:v>0.47989077300176503</c:v>
                </c:pt>
                <c:pt idx="106">
                  <c:v>0.4804959557543525</c:v>
                </c:pt>
                <c:pt idx="107">
                  <c:v>0.48107848452303753</c:v>
                </c:pt>
                <c:pt idx="108">
                  <c:v>0.48163935428860533</c:v>
                </c:pt>
                <c:pt idx="109">
                  <c:v>0.48217951099236528</c:v>
                </c:pt>
                <c:pt idx="110">
                  <c:v>0.4826998541382948</c:v>
                </c:pt>
                <c:pt idx="111">
                  <c:v>0.48320123925389785</c:v>
                </c:pt>
                <c:pt idx="112">
                  <c:v>0.48368448021693267</c:v>
                </c:pt>
                <c:pt idx="113">
                  <c:v>0.48415035145491858</c:v>
                </c:pt>
                <c:pt idx="114">
                  <c:v>0.48459959002407677</c:v>
                </c:pt>
                <c:pt idx="115">
                  <c:v>0.4850328975740914</c:v>
                </c:pt>
                <c:pt idx="116">
                  <c:v>0.48545094220481338</c:v>
                </c:pt>
                <c:pt idx="117">
                  <c:v>0.48585436022075174</c:v>
                </c:pt>
                <c:pt idx="118">
                  <c:v>0.48624375778893569</c:v>
                </c:pt>
                <c:pt idx="119">
                  <c:v>0.48661971250545849</c:v>
                </c:pt>
                <c:pt idx="120">
                  <c:v>0.48698277487575903</c:v>
                </c:pt>
                <c:pt idx="121">
                  <c:v>0.48733346971344016</c:v>
                </c:pt>
                <c:pt idx="122">
                  <c:v>0.48767229746217827</c:v>
                </c:pt>
                <c:pt idx="123">
                  <c:v>0.48799973544504022</c:v>
                </c:pt>
                <c:pt idx="124">
                  <c:v>0.4883162390452942</c:v>
                </c:pt>
                <c:pt idx="125">
                  <c:v>0.48862224282258215</c:v>
                </c:pt>
                <c:pt idx="126">
                  <c:v>0.48891816156810891</c:v>
                </c:pt>
                <c:pt idx="127">
                  <c:v>0.48920439130230409</c:v>
                </c:pt>
                <c:pt idx="128">
                  <c:v>0.48948131021821795</c:v>
                </c:pt>
              </c:numCache>
            </c:numRef>
          </c:yVal>
          <c:smooth val="0"/>
          <c:extLst>
            <c:ext xmlns:c16="http://schemas.microsoft.com/office/drawing/2014/chart" uri="{C3380CC4-5D6E-409C-BE32-E72D297353CC}">
              <c16:uniqueId val="{00000000-FFC9-4900-85E9-C6B6E5480875}"/>
            </c:ext>
          </c:extLst>
        </c:ser>
        <c:dLbls>
          <c:showLegendKey val="0"/>
          <c:showVal val="0"/>
          <c:showCatName val="0"/>
          <c:showSerName val="0"/>
          <c:showPercent val="0"/>
          <c:showBubbleSize val="0"/>
        </c:dLbls>
        <c:axId val="124621856"/>
        <c:axId val="124622272"/>
      </c:scatterChart>
      <c:valAx>
        <c:axId val="124621856"/>
        <c:scaling>
          <c:orientation val="minMax"/>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r>
                  <a:rPr lang="en-US" b="1"/>
                  <a:t>Advertizing Budget in Million</a:t>
                </a:r>
              </a:p>
            </c:rich>
          </c:tx>
          <c:overlay val="0"/>
          <c:spPr>
            <a:noFill/>
            <a:ln>
              <a:noFill/>
            </a:ln>
            <a:effectLst/>
          </c:spPr>
          <c:txPr>
            <a:bodyPr rot="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4622272"/>
        <c:crosses val="autoZero"/>
        <c:crossBetween val="midCat"/>
      </c:valAx>
      <c:valAx>
        <c:axId val="124622272"/>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800" b="0" i="0" u="none" strike="noStrike" kern="1200" baseline="0">
                    <a:solidFill>
                      <a:schemeClr val="tx1">
                        <a:lumMod val="65000"/>
                        <a:lumOff val="35000"/>
                      </a:schemeClr>
                    </a:solidFill>
                    <a:latin typeface="+mn-lt"/>
                    <a:ea typeface="+mn-ea"/>
                    <a:cs typeface="+mn-cs"/>
                  </a:defRPr>
                </a:pPr>
                <a:r>
                  <a:rPr lang="en-US" sz="1800"/>
                  <a:t>Market Share</a:t>
                </a:r>
              </a:p>
            </c:rich>
          </c:tx>
          <c:overlay val="0"/>
          <c:spPr>
            <a:noFill/>
            <a:ln>
              <a:noFill/>
            </a:ln>
            <a:effectLst/>
          </c:spPr>
          <c:txPr>
            <a:bodyPr rot="-5400000" spcFirstLastPara="1" vertOverflow="ellipsis" vert="horz" wrap="square" anchor="ctr" anchorCtr="1"/>
            <a:lstStyle/>
            <a:p>
              <a:pPr>
                <a:defRPr sz="1800" b="0" i="0" u="none" strike="noStrike" kern="1200" baseline="0">
                  <a:solidFill>
                    <a:schemeClr val="tx1">
                      <a:lumMod val="65000"/>
                      <a:lumOff val="35000"/>
                    </a:schemeClr>
                  </a:solidFill>
                  <a:latin typeface="+mn-lt"/>
                  <a:ea typeface="+mn-ea"/>
                  <a:cs typeface="+mn-cs"/>
                </a:defRPr>
              </a:pPr>
              <a:endParaRPr lang="en-US"/>
            </a:p>
          </c:txPr>
        </c:title>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4621856"/>
        <c:crosses val="autoZero"/>
        <c:crossBetween val="midCat"/>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2048589576585386"/>
          <c:y val="8.7304505368608953E-2"/>
          <c:w val="0.84512249744334644"/>
          <c:h val="0.64552422151335109"/>
        </c:manualLayout>
      </c:layout>
      <c:lineChart>
        <c:grouping val="standard"/>
        <c:varyColors val="0"/>
        <c:ser>
          <c:idx val="0"/>
          <c:order val="0"/>
          <c:spPr>
            <a:ln w="38100">
              <a:solidFill>
                <a:srgbClr val="000080"/>
              </a:solidFill>
              <a:prstDash val="solid"/>
            </a:ln>
          </c:spPr>
          <c:marker>
            <c:symbol val="none"/>
          </c:marker>
          <c:cat>
            <c:strRef>
              <c:f>Calibration!$B$26:$B$36</c:f>
              <c:strCache>
                <c:ptCount val="11"/>
                <c:pt idx="0">
                  <c:v>No advertising</c:v>
                </c:pt>
                <c:pt idx="1">
                  <c:v>0.40 M$</c:v>
                </c:pt>
                <c:pt idx="2">
                  <c:v>0.80 M$</c:v>
                </c:pt>
                <c:pt idx="3">
                  <c:v>1.20 M$</c:v>
                </c:pt>
                <c:pt idx="4">
                  <c:v>1.60 M$</c:v>
                </c:pt>
                <c:pt idx="5">
                  <c:v>2.00 M$</c:v>
                </c:pt>
                <c:pt idx="6">
                  <c:v>2.40 M$</c:v>
                </c:pt>
                <c:pt idx="7">
                  <c:v>2.80 M$</c:v>
                </c:pt>
                <c:pt idx="8">
                  <c:v>3.20 M$</c:v>
                </c:pt>
                <c:pt idx="9">
                  <c:v>3.60 M$</c:v>
                </c:pt>
                <c:pt idx="10">
                  <c:v>4.00 M$</c:v>
                </c:pt>
              </c:strCache>
            </c:strRef>
          </c:cat>
          <c:val>
            <c:numRef>
              <c:f>Calibration!$C$26:$C$36</c:f>
              <c:numCache>
                <c:formatCode>0.0%</c:formatCode>
                <c:ptCount val="11"/>
                <c:pt idx="0">
                  <c:v>4.7E-2</c:v>
                </c:pt>
                <c:pt idx="1">
                  <c:v>4.7014887130496348E-2</c:v>
                </c:pt>
                <c:pt idx="2">
                  <c:v>4.7265631769353979E-2</c:v>
                </c:pt>
                <c:pt idx="3">
                  <c:v>4.8347195129227534E-2</c:v>
                </c:pt>
                <c:pt idx="4">
                  <c:v>5.0749146883153448E-2</c:v>
                </c:pt>
                <c:pt idx="5">
                  <c:v>5.4000037313694182E-2</c:v>
                </c:pt>
                <c:pt idx="6">
                  <c:v>5.6999968961266051E-2</c:v>
                </c:pt>
                <c:pt idx="7">
                  <c:v>5.9167300172468927E-2</c:v>
                </c:pt>
                <c:pt idx="8">
                  <c:v>6.0556339366490228E-2</c:v>
                </c:pt>
                <c:pt idx="9">
                  <c:v>6.1412166094964943E-2</c:v>
                </c:pt>
                <c:pt idx="10">
                  <c:v>6.1940342559454555E-2</c:v>
                </c:pt>
              </c:numCache>
            </c:numRef>
          </c:val>
          <c:smooth val="1"/>
          <c:extLst>
            <c:ext xmlns:c16="http://schemas.microsoft.com/office/drawing/2014/chart" uri="{C3380CC4-5D6E-409C-BE32-E72D297353CC}">
              <c16:uniqueId val="{00000000-DC41-4339-A2C7-B3A74C42D506}"/>
            </c:ext>
          </c:extLst>
        </c:ser>
        <c:dLbls>
          <c:showLegendKey val="0"/>
          <c:showVal val="0"/>
          <c:showCatName val="0"/>
          <c:showSerName val="0"/>
          <c:showPercent val="0"/>
          <c:showBubbleSize val="0"/>
        </c:dLbls>
        <c:smooth val="0"/>
        <c:axId val="2007788000"/>
        <c:axId val="1"/>
      </c:lineChart>
      <c:catAx>
        <c:axId val="2007788000"/>
        <c:scaling>
          <c:orientation val="minMax"/>
        </c:scaling>
        <c:delete val="0"/>
        <c:axPos val="b"/>
        <c:numFmt formatCode="General" sourceLinked="1"/>
        <c:majorTickMark val="out"/>
        <c:minorTickMark val="none"/>
        <c:tickLblPos val="nextTo"/>
        <c:spPr>
          <a:ln w="3175">
            <a:solidFill>
              <a:srgbClr val="000000"/>
            </a:solidFill>
            <a:prstDash val="solid"/>
          </a:ln>
        </c:spPr>
        <c:txPr>
          <a:bodyPr rot="-2700000" vert="horz"/>
          <a:lstStyle/>
          <a:p>
            <a:pPr>
              <a:defRPr sz="600" b="0" i="0" u="none" strike="noStrike" baseline="0">
                <a:solidFill>
                  <a:srgbClr val="000000"/>
                </a:solidFill>
                <a:latin typeface="Arial"/>
                <a:ea typeface="Arial"/>
                <a:cs typeface="Arial"/>
              </a:defRPr>
            </a:pPr>
            <a:endParaRPr lang="en-US"/>
          </a:p>
        </c:txPr>
        <c:crossAx val="1"/>
        <c:crosses val="autoZero"/>
        <c:auto val="1"/>
        <c:lblAlgn val="ctr"/>
        <c:lblOffset val="100"/>
        <c:tickLblSkip val="1"/>
        <c:tickMarkSkip val="1"/>
        <c:noMultiLvlLbl val="0"/>
      </c:catAx>
      <c:valAx>
        <c:axId val="1"/>
        <c:scaling>
          <c:orientation val="minMax"/>
          <c:min val="0.04"/>
        </c:scaling>
        <c:delete val="0"/>
        <c:axPos val="l"/>
        <c:majorGridlines>
          <c:spPr>
            <a:ln w="3175">
              <a:solidFill>
                <a:srgbClr val="C0C0C0"/>
              </a:solidFill>
              <a:prstDash val="sysDash"/>
            </a:ln>
          </c:spPr>
        </c:majorGridlines>
        <c:numFmt formatCode="0.0%" sourceLinked="0"/>
        <c:majorTickMark val="out"/>
        <c:minorTickMark val="none"/>
        <c:tickLblPos val="nextTo"/>
        <c:spPr>
          <a:ln w="3175">
            <a:solidFill>
              <a:srgbClr val="000000"/>
            </a:solidFill>
            <a:prstDash val="solid"/>
          </a:ln>
        </c:spPr>
        <c:txPr>
          <a:bodyPr rot="0" vert="horz"/>
          <a:lstStyle/>
          <a:p>
            <a:pPr>
              <a:defRPr sz="700" b="0" i="0" u="none" strike="noStrike" baseline="0">
                <a:solidFill>
                  <a:srgbClr val="000000"/>
                </a:solidFill>
                <a:latin typeface="Arial"/>
                <a:ea typeface="Arial"/>
                <a:cs typeface="Arial"/>
              </a:defRPr>
            </a:pPr>
            <a:endParaRPr lang="en-US"/>
          </a:p>
        </c:txPr>
        <c:crossAx val="200778800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E3E3E3"/>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en-US"/>
    </a:p>
  </c:txPr>
  <c:printSettings>
    <c:headerFooter alignWithMargins="0"/>
    <c:pageMargins b="1" l="0.75" r="0.75" t="1" header="0.5" footer="0.5"/>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00" b="1" i="0" u="none" strike="noStrike" baseline="0">
                <a:solidFill>
                  <a:srgbClr val="000000"/>
                </a:solidFill>
                <a:latin typeface="Arial"/>
                <a:ea typeface="Arial"/>
                <a:cs typeface="Arial"/>
              </a:defRPr>
            </a:pPr>
            <a:r>
              <a:rPr lang="en-US"/>
              <a:t>Advertising and Share per Period</a:t>
            </a:r>
          </a:p>
        </c:rich>
      </c:tx>
      <c:layout>
        <c:manualLayout>
          <c:xMode val="edge"/>
          <c:yMode val="edge"/>
          <c:x val="0.35629629629629628"/>
          <c:y val="1.9607843137254902E-2"/>
        </c:manualLayout>
      </c:layout>
      <c:overlay val="0"/>
      <c:spPr>
        <a:noFill/>
        <a:ln w="25400">
          <a:noFill/>
        </a:ln>
      </c:spPr>
    </c:title>
    <c:autoTitleDeleted val="0"/>
    <c:plotArea>
      <c:layout>
        <c:manualLayout>
          <c:layoutTarget val="inner"/>
          <c:xMode val="edge"/>
          <c:yMode val="edge"/>
          <c:x val="6.5925925925925929E-2"/>
          <c:y val="0.11546840958605664"/>
          <c:w val="0.84962962962962962"/>
          <c:h val="0.78213507625272327"/>
        </c:manualLayout>
      </c:layout>
      <c:barChart>
        <c:barDir val="col"/>
        <c:grouping val="clustered"/>
        <c:varyColors val="0"/>
        <c:ser>
          <c:idx val="1"/>
          <c:order val="1"/>
          <c:tx>
            <c:v>Advertising</c:v>
          </c:tx>
          <c:spPr>
            <a:gradFill rotWithShape="0">
              <a:gsLst>
                <a:gs pos="0">
                  <a:srgbClr xmlns:mc="http://schemas.openxmlformats.org/markup-compatibility/2006" xmlns:a14="http://schemas.microsoft.com/office/drawing/2010/main" val="3366FF" mc:Ignorable="a14" a14:legacySpreadsheetColorIndex="48"/>
                </a:gs>
                <a:gs pos="100000">
                  <a:srgbClr xmlns:mc="http://schemas.openxmlformats.org/markup-compatibility/2006" xmlns:a14="http://schemas.microsoft.com/office/drawing/2010/main" val="A6CAF0" mc:Ignorable="a14" a14:legacySpreadsheetColorIndex="44"/>
                </a:gs>
              </a:gsLst>
              <a:lin ang="5400000" scaled="1"/>
            </a:gradFill>
            <a:ln w="12700">
              <a:solidFill>
                <a:srgbClr val="000000"/>
              </a:solidFill>
              <a:prstDash val="solid"/>
            </a:ln>
          </c:spPr>
          <c:invertIfNegative val="0"/>
          <c:val>
            <c:numRef>
              <c:f>Forecasting!$C$16:$C$28</c:f>
              <c:numCache>
                <c:formatCode>0.00\ "M$"</c:formatCode>
                <c:ptCount val="13"/>
                <c:pt idx="1">
                  <c:v>2</c:v>
                </c:pt>
                <c:pt idx="2">
                  <c:v>2</c:v>
                </c:pt>
                <c:pt idx="3">
                  <c:v>2</c:v>
                </c:pt>
                <c:pt idx="4">
                  <c:v>2</c:v>
                </c:pt>
                <c:pt idx="5">
                  <c:v>2</c:v>
                </c:pt>
                <c:pt idx="6">
                  <c:v>2</c:v>
                </c:pt>
                <c:pt idx="7">
                  <c:v>2</c:v>
                </c:pt>
                <c:pt idx="8">
                  <c:v>2</c:v>
                </c:pt>
                <c:pt idx="9">
                  <c:v>2</c:v>
                </c:pt>
                <c:pt idx="10">
                  <c:v>2</c:v>
                </c:pt>
                <c:pt idx="11">
                  <c:v>2</c:v>
                </c:pt>
                <c:pt idx="12">
                  <c:v>2</c:v>
                </c:pt>
              </c:numCache>
            </c:numRef>
          </c:val>
          <c:extLst>
            <c:ext xmlns:c16="http://schemas.microsoft.com/office/drawing/2014/chart" uri="{C3380CC4-5D6E-409C-BE32-E72D297353CC}">
              <c16:uniqueId val="{00000000-9760-4C9D-A38D-4A83301256CC}"/>
            </c:ext>
          </c:extLst>
        </c:ser>
        <c:dLbls>
          <c:showLegendKey val="0"/>
          <c:showVal val="0"/>
          <c:showCatName val="0"/>
          <c:showSerName val="0"/>
          <c:showPercent val="0"/>
          <c:showBubbleSize val="0"/>
        </c:dLbls>
        <c:gapWidth val="150"/>
        <c:axId val="3"/>
        <c:axId val="4"/>
      </c:barChart>
      <c:lineChart>
        <c:grouping val="standard"/>
        <c:varyColors val="0"/>
        <c:ser>
          <c:idx val="0"/>
          <c:order val="0"/>
          <c:tx>
            <c:strRef>
              <c:f>Forecasting!$G$14</c:f>
              <c:strCache>
                <c:ptCount val="1"/>
                <c:pt idx="0">
                  <c:v>Share</c:v>
                </c:pt>
              </c:strCache>
            </c:strRef>
          </c:tx>
          <c:spPr>
            <a:ln w="38100">
              <a:solidFill>
                <a:srgbClr val="FF0000"/>
              </a:solidFill>
              <a:prstDash val="solid"/>
            </a:ln>
          </c:spPr>
          <c:marker>
            <c:symbol val="none"/>
          </c:marker>
          <c:dLbls>
            <c:numFmt formatCode="0.0%" sourceLinked="0"/>
            <c:spPr>
              <a:solidFill>
                <a:srgbClr val="FFFFFF"/>
              </a:solidFill>
              <a:ln w="3175">
                <a:solidFill>
                  <a:srgbClr val="FF8080"/>
                </a:solidFill>
                <a:prstDash val="solid"/>
              </a:ln>
            </c:spPr>
            <c:txPr>
              <a:bodyPr wrap="square" lIns="38100" tIns="19050" rIns="38100" bIns="19050" anchor="ctr">
                <a:spAutoFit/>
              </a:bodyPr>
              <a:lstStyle/>
              <a:p>
                <a:pPr>
                  <a:defRPr sz="800" b="0" i="0" u="none" strike="noStrike" baseline="0">
                    <a:solidFill>
                      <a:srgbClr val="000000"/>
                    </a:solidFill>
                    <a:latin typeface="Arial"/>
                    <a:ea typeface="Arial"/>
                    <a:cs typeface="Arial"/>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Forecasting!$B$16:$B$28</c:f>
              <c:strCache>
                <c:ptCount val="13"/>
                <c:pt idx="0">
                  <c:v>Initial</c:v>
                </c:pt>
                <c:pt idx="1">
                  <c:v>Q1</c:v>
                </c:pt>
                <c:pt idx="2">
                  <c:v>Q2</c:v>
                </c:pt>
                <c:pt idx="3">
                  <c:v>Q3</c:v>
                </c:pt>
                <c:pt idx="4">
                  <c:v>Q4</c:v>
                </c:pt>
                <c:pt idx="5">
                  <c:v>Q1</c:v>
                </c:pt>
                <c:pt idx="6">
                  <c:v>Q2</c:v>
                </c:pt>
                <c:pt idx="7">
                  <c:v>Q3</c:v>
                </c:pt>
                <c:pt idx="8">
                  <c:v>Q4</c:v>
                </c:pt>
                <c:pt idx="9">
                  <c:v>Q1</c:v>
                </c:pt>
                <c:pt idx="10">
                  <c:v>Q2</c:v>
                </c:pt>
                <c:pt idx="11">
                  <c:v>Q3</c:v>
                </c:pt>
                <c:pt idx="12">
                  <c:v>Q4</c:v>
                </c:pt>
              </c:strCache>
            </c:strRef>
          </c:cat>
          <c:val>
            <c:numRef>
              <c:f>Forecasting!$G$16:$G$28</c:f>
              <c:numCache>
                <c:formatCode>0.00%</c:formatCode>
                <c:ptCount val="13"/>
                <c:pt idx="0">
                  <c:v>5.3999999999999999E-2</c:v>
                </c:pt>
                <c:pt idx="1">
                  <c:v>5.4000037313694182E-2</c:v>
                </c:pt>
                <c:pt idx="2">
                  <c:v>5.4000069790428006E-2</c:v>
                </c:pt>
                <c:pt idx="3">
                  <c:v>5.4000098057214854E-2</c:v>
                </c:pt>
                <c:pt idx="4">
                  <c:v>5.4000122659788589E-2</c:v>
                </c:pt>
                <c:pt idx="5">
                  <c:v>5.4000144073139807E-2</c:v>
                </c:pt>
                <c:pt idx="6">
                  <c:v>5.4000162710686236E-2</c:v>
                </c:pt>
                <c:pt idx="7">
                  <c:v>5.4000178932254422E-2</c:v>
                </c:pt>
                <c:pt idx="8">
                  <c:v>5.4000193051026733E-2</c:v>
                </c:pt>
                <c:pt idx="9">
                  <c:v>5.4000205339587819E-2</c:v>
                </c:pt>
                <c:pt idx="10">
                  <c:v>5.400021603518728E-2</c:v>
                </c:pt>
                <c:pt idx="11">
                  <c:v>5.4000225344320148E-2</c:v>
                </c:pt>
                <c:pt idx="12">
                  <c:v>5.4000233446713571E-2</c:v>
                </c:pt>
              </c:numCache>
            </c:numRef>
          </c:val>
          <c:smooth val="0"/>
          <c:extLst>
            <c:ext xmlns:c16="http://schemas.microsoft.com/office/drawing/2014/chart" uri="{C3380CC4-5D6E-409C-BE32-E72D297353CC}">
              <c16:uniqueId val="{00000001-9760-4C9D-A38D-4A83301256CC}"/>
            </c:ext>
          </c:extLst>
        </c:ser>
        <c:dLbls>
          <c:showLegendKey val="0"/>
          <c:showVal val="0"/>
          <c:showCatName val="0"/>
          <c:showSerName val="0"/>
          <c:showPercent val="0"/>
          <c:showBubbleSize val="0"/>
        </c:dLbls>
        <c:marker val="1"/>
        <c:smooth val="0"/>
        <c:axId val="2007726736"/>
        <c:axId val="1"/>
      </c:lineChart>
      <c:catAx>
        <c:axId val="2007726736"/>
        <c:scaling>
          <c:orientation val="minMax"/>
        </c:scaling>
        <c:delete val="0"/>
        <c:axPos val="b"/>
        <c:title>
          <c:tx>
            <c:rich>
              <a:bodyPr/>
              <a:lstStyle/>
              <a:p>
                <a:pPr>
                  <a:defRPr sz="1000" b="1" i="0" u="none" strike="noStrike" baseline="0">
                    <a:solidFill>
                      <a:srgbClr val="000000"/>
                    </a:solidFill>
                    <a:latin typeface="Arial"/>
                    <a:ea typeface="Arial"/>
                    <a:cs typeface="Arial"/>
                  </a:defRPr>
                </a:pPr>
                <a:r>
                  <a:rPr lang="en-US"/>
                  <a:t>Period</a:t>
                </a:r>
              </a:p>
            </c:rich>
          </c:tx>
          <c:layout>
            <c:manualLayout>
              <c:xMode val="edge"/>
              <c:yMode val="edge"/>
              <c:x val="0.46592592592592591"/>
              <c:y val="0.94553376906318087"/>
            </c:manualLayout>
          </c:layout>
          <c:overlay val="0"/>
          <c:spPr>
            <a:noFill/>
            <a:ln w="25400">
              <a:noFill/>
            </a:ln>
          </c:spPr>
        </c:title>
        <c:numFmt formatCode="General" sourceLinked="1"/>
        <c:majorTickMark val="out"/>
        <c:minorTickMark val="none"/>
        <c:tickLblPos val="nextTo"/>
        <c:spPr>
          <a:ln w="3175">
            <a:solidFill>
              <a:srgbClr val="000000"/>
            </a:solidFill>
            <a:prstDash val="solid"/>
          </a:ln>
        </c:spPr>
        <c:txPr>
          <a:bodyPr rot="0" vert="horz"/>
          <a:lstStyle/>
          <a:p>
            <a:pPr>
              <a:defRPr sz="925" b="0" i="0" u="none" strike="noStrike" baseline="0">
                <a:solidFill>
                  <a:srgbClr val="000000"/>
                </a:solidFill>
                <a:latin typeface="Arial"/>
                <a:ea typeface="Arial"/>
                <a:cs typeface="Arial"/>
              </a:defRPr>
            </a:pPr>
            <a:endParaRPr lang="en-US"/>
          </a:p>
        </c:txPr>
        <c:crossAx val="1"/>
        <c:crosses val="autoZero"/>
        <c:auto val="1"/>
        <c:lblAlgn val="ctr"/>
        <c:lblOffset val="100"/>
        <c:tickLblSkip val="1"/>
        <c:tickMarkSkip val="1"/>
        <c:noMultiLvlLbl val="0"/>
      </c:catAx>
      <c:valAx>
        <c:axId val="1"/>
        <c:scaling>
          <c:orientation val="minMax"/>
          <c:min val="0"/>
        </c:scaling>
        <c:delete val="0"/>
        <c:axPos val="l"/>
        <c:majorGridlines>
          <c:spPr>
            <a:ln w="3175">
              <a:solidFill>
                <a:srgbClr val="C0C0C0"/>
              </a:solidFill>
              <a:prstDash val="sysDash"/>
            </a:ln>
          </c:spPr>
        </c:majorGridlines>
        <c:title>
          <c:tx>
            <c:rich>
              <a:bodyPr/>
              <a:lstStyle/>
              <a:p>
                <a:pPr>
                  <a:defRPr sz="1000" b="1" i="0" u="none" strike="noStrike" baseline="0">
                    <a:solidFill>
                      <a:srgbClr val="000000"/>
                    </a:solidFill>
                    <a:latin typeface="Arial"/>
                    <a:ea typeface="Arial"/>
                    <a:cs typeface="Arial"/>
                  </a:defRPr>
                </a:pPr>
                <a:r>
                  <a:rPr lang="en-US"/>
                  <a:t>Share</a:t>
                </a:r>
              </a:p>
            </c:rich>
          </c:tx>
          <c:layout>
            <c:manualLayout>
              <c:xMode val="edge"/>
              <c:yMode val="edge"/>
              <c:x val="1.037037037037037E-2"/>
              <c:y val="0.47385620915032678"/>
            </c:manualLayout>
          </c:layout>
          <c:overlay val="0"/>
          <c:spPr>
            <a:noFill/>
            <a:ln w="25400">
              <a:noFill/>
            </a:ln>
          </c:spPr>
        </c:title>
        <c:numFmt formatCode="0%"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2007726736"/>
        <c:crosses val="autoZero"/>
        <c:crossBetween val="between"/>
      </c:valAx>
      <c:catAx>
        <c:axId val="3"/>
        <c:scaling>
          <c:orientation val="minMax"/>
        </c:scaling>
        <c:delete val="1"/>
        <c:axPos val="b"/>
        <c:majorTickMark val="out"/>
        <c:minorTickMark val="none"/>
        <c:tickLblPos val="nextTo"/>
        <c:crossAx val="4"/>
        <c:crosses val="autoZero"/>
        <c:auto val="1"/>
        <c:lblAlgn val="ctr"/>
        <c:lblOffset val="100"/>
        <c:noMultiLvlLbl val="0"/>
      </c:catAx>
      <c:valAx>
        <c:axId val="4"/>
        <c:scaling>
          <c:orientation val="minMax"/>
          <c:min val="0"/>
        </c:scaling>
        <c:delete val="0"/>
        <c:axPos val="r"/>
        <c:title>
          <c:tx>
            <c:rich>
              <a:bodyPr/>
              <a:lstStyle/>
              <a:p>
                <a:pPr>
                  <a:defRPr sz="1000" b="1" i="0" u="none" strike="noStrike" baseline="0">
                    <a:solidFill>
                      <a:srgbClr val="000000"/>
                    </a:solidFill>
                    <a:latin typeface="Arial"/>
                    <a:ea typeface="Arial"/>
                    <a:cs typeface="Arial"/>
                  </a:defRPr>
                </a:pPr>
                <a:r>
                  <a:rPr lang="en-US"/>
                  <a:t>Advertising</a:t>
                </a:r>
              </a:p>
            </c:rich>
          </c:tx>
          <c:layout>
            <c:manualLayout>
              <c:xMode val="edge"/>
              <c:yMode val="edge"/>
              <c:x val="0.96296296296296291"/>
              <c:y val="0.44444444444444442"/>
            </c:manualLayout>
          </c:layout>
          <c:overlay val="0"/>
          <c:spPr>
            <a:noFill/>
            <a:ln w="25400">
              <a:noFill/>
            </a:ln>
          </c:spPr>
        </c:title>
        <c:numFmt formatCode="0.0\ &quot;M$&quot;"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3"/>
        <c:crosses val="max"/>
        <c:crossBetween val="between"/>
      </c:valAx>
      <c:spPr>
        <a:solidFill>
          <a:srgbClr val="FFFFFF"/>
        </a:solidFill>
        <a:ln w="12700">
          <a:solidFill>
            <a:srgbClr val="808080"/>
          </a:solidFill>
          <a:prstDash val="solid"/>
        </a:ln>
      </c:spPr>
    </c:plotArea>
    <c:plotVisOnly val="1"/>
    <c:dispBlanksAs val="gap"/>
    <c:showDLblsOverMax val="0"/>
  </c:chart>
  <c:spPr>
    <a:noFill/>
    <a:ln w="6350">
      <a:noFill/>
    </a:ln>
  </c:spPr>
  <c:txPr>
    <a:bodyPr/>
    <a:lstStyle/>
    <a:p>
      <a:pPr>
        <a:defRPr sz="925" b="0" i="0" u="none" strike="noStrike" baseline="0">
          <a:solidFill>
            <a:srgbClr val="000000"/>
          </a:solidFill>
          <a:latin typeface="Arial"/>
          <a:ea typeface="Arial"/>
          <a:cs typeface="Arial"/>
        </a:defRPr>
      </a:pPr>
      <a:endParaRPr lang="en-US"/>
    </a:p>
  </c:txPr>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00" b="1" i="0" u="none" strike="noStrike" baseline="0">
                <a:solidFill>
                  <a:srgbClr val="000000"/>
                </a:solidFill>
                <a:latin typeface="Arial"/>
                <a:ea typeface="Arial"/>
                <a:cs typeface="Arial"/>
              </a:defRPr>
            </a:pPr>
            <a:r>
              <a:rPr lang="en-US"/>
              <a:t>Contribution Before and After Advertising</a:t>
            </a:r>
          </a:p>
        </c:rich>
      </c:tx>
      <c:layout>
        <c:manualLayout>
          <c:xMode val="edge"/>
          <c:yMode val="edge"/>
          <c:x val="0.32"/>
          <c:y val="1.9607843137254902E-2"/>
        </c:manualLayout>
      </c:layout>
      <c:overlay val="0"/>
      <c:spPr>
        <a:noFill/>
        <a:ln w="25400">
          <a:noFill/>
        </a:ln>
      </c:spPr>
    </c:title>
    <c:autoTitleDeleted val="0"/>
    <c:plotArea>
      <c:layout>
        <c:manualLayout>
          <c:layoutTarget val="inner"/>
          <c:xMode val="edge"/>
          <c:yMode val="edge"/>
          <c:x val="8.1481481481481488E-2"/>
          <c:y val="0.11546840958605664"/>
          <c:w val="0.71259259259259256"/>
          <c:h val="0.78213507625272327"/>
        </c:manualLayout>
      </c:layout>
      <c:lineChart>
        <c:grouping val="standard"/>
        <c:varyColors val="0"/>
        <c:ser>
          <c:idx val="0"/>
          <c:order val="0"/>
          <c:tx>
            <c:v>Before Advertising</c:v>
          </c:tx>
          <c:spPr>
            <a:ln w="38100">
              <a:solidFill>
                <a:srgbClr val="000080"/>
              </a:solidFill>
              <a:prstDash val="solid"/>
            </a:ln>
          </c:spPr>
          <c:marker>
            <c:symbol val="none"/>
          </c:marker>
          <c:cat>
            <c:strRef>
              <c:f>Forecasting!$B$17:$B$28</c:f>
              <c:strCache>
                <c:ptCount val="12"/>
                <c:pt idx="0">
                  <c:v>Q1</c:v>
                </c:pt>
                <c:pt idx="1">
                  <c:v>Q2</c:v>
                </c:pt>
                <c:pt idx="2">
                  <c:v>Q3</c:v>
                </c:pt>
                <c:pt idx="3">
                  <c:v>Q4</c:v>
                </c:pt>
                <c:pt idx="4">
                  <c:v>Q1</c:v>
                </c:pt>
                <c:pt idx="5">
                  <c:v>Q2</c:v>
                </c:pt>
                <c:pt idx="6">
                  <c:v>Q3</c:v>
                </c:pt>
                <c:pt idx="7">
                  <c:v>Q4</c:v>
                </c:pt>
                <c:pt idx="8">
                  <c:v>Q1</c:v>
                </c:pt>
                <c:pt idx="9">
                  <c:v>Q2</c:v>
                </c:pt>
                <c:pt idx="10">
                  <c:v>Q3</c:v>
                </c:pt>
                <c:pt idx="11">
                  <c:v>Q4</c:v>
                </c:pt>
              </c:strCache>
            </c:strRef>
          </c:cat>
          <c:val>
            <c:numRef>
              <c:f>Forecasting!$L$17:$L$28</c:f>
              <c:numCache>
                <c:formatCode>0.0\ "M$"</c:formatCode>
                <c:ptCount val="12"/>
                <c:pt idx="0">
                  <c:v>5.3460036940557245</c:v>
                </c:pt>
                <c:pt idx="1">
                  <c:v>5.3994669783448961</c:v>
                </c:pt>
                <c:pt idx="2">
                  <c:v>5.4534645027883224</c:v>
                </c:pt>
                <c:pt idx="3">
                  <c:v>5.5080016572737813</c:v>
                </c:pt>
                <c:pt idx="4">
                  <c:v>5.5630838798456139</c:v>
                </c:pt>
                <c:pt idx="5">
                  <c:v>5.6187166578806824</c:v>
                </c:pt>
                <c:pt idx="6">
                  <c:v>5.6749055291921184</c:v>
                </c:pt>
                <c:pt idx="7">
                  <c:v>5.7316560830702965</c:v>
                </c:pt>
                <c:pt idx="8">
                  <c:v>5.7889739612693267</c:v>
                </c:pt>
                <c:pt idx="9">
                  <c:v>5.8468648589463612</c:v>
                </c:pt>
                <c:pt idx="10">
                  <c:v>5.9053345255601633</c:v>
                </c:pt>
                <c:pt idx="11">
                  <c:v>5.9643887657345696</c:v>
                </c:pt>
              </c:numCache>
            </c:numRef>
          </c:val>
          <c:smooth val="1"/>
          <c:extLst>
            <c:ext xmlns:c16="http://schemas.microsoft.com/office/drawing/2014/chart" uri="{C3380CC4-5D6E-409C-BE32-E72D297353CC}">
              <c16:uniqueId val="{00000000-CCC8-4A07-B71A-BB08E9B98130}"/>
            </c:ext>
          </c:extLst>
        </c:ser>
        <c:ser>
          <c:idx val="1"/>
          <c:order val="1"/>
          <c:tx>
            <c:v>After Advertising</c:v>
          </c:tx>
          <c:spPr>
            <a:ln w="38100">
              <a:solidFill>
                <a:srgbClr val="FF0000"/>
              </a:solidFill>
              <a:prstDash val="solid"/>
            </a:ln>
          </c:spPr>
          <c:marker>
            <c:symbol val="none"/>
          </c:marker>
          <c:cat>
            <c:strRef>
              <c:f>Forecasting!$B$17:$B$28</c:f>
              <c:strCache>
                <c:ptCount val="12"/>
                <c:pt idx="0">
                  <c:v>Q1</c:v>
                </c:pt>
                <c:pt idx="1">
                  <c:v>Q2</c:v>
                </c:pt>
                <c:pt idx="2">
                  <c:v>Q3</c:v>
                </c:pt>
                <c:pt idx="3">
                  <c:v>Q4</c:v>
                </c:pt>
                <c:pt idx="4">
                  <c:v>Q1</c:v>
                </c:pt>
                <c:pt idx="5">
                  <c:v>Q2</c:v>
                </c:pt>
                <c:pt idx="6">
                  <c:v>Q3</c:v>
                </c:pt>
                <c:pt idx="7">
                  <c:v>Q4</c:v>
                </c:pt>
                <c:pt idx="8">
                  <c:v>Q1</c:v>
                </c:pt>
                <c:pt idx="9">
                  <c:v>Q2</c:v>
                </c:pt>
                <c:pt idx="10">
                  <c:v>Q3</c:v>
                </c:pt>
                <c:pt idx="11">
                  <c:v>Q4</c:v>
                </c:pt>
              </c:strCache>
            </c:strRef>
          </c:cat>
          <c:val>
            <c:numRef>
              <c:f>Forecasting!$M$17:$M$28</c:f>
              <c:numCache>
                <c:formatCode>0.0\ "M$"</c:formatCode>
                <c:ptCount val="12"/>
                <c:pt idx="0">
                  <c:v>3.3460036940557245</c:v>
                </c:pt>
                <c:pt idx="1">
                  <c:v>3.3994669783448961</c:v>
                </c:pt>
                <c:pt idx="2">
                  <c:v>3.4534645027883224</c:v>
                </c:pt>
                <c:pt idx="3">
                  <c:v>3.5080016572737813</c:v>
                </c:pt>
                <c:pt idx="4">
                  <c:v>3.5630838798456139</c:v>
                </c:pt>
                <c:pt idx="5">
                  <c:v>3.6187166578806824</c:v>
                </c:pt>
                <c:pt idx="6">
                  <c:v>3.6749055291921184</c:v>
                </c:pt>
                <c:pt idx="7">
                  <c:v>3.7316560830702965</c:v>
                </c:pt>
                <c:pt idx="8">
                  <c:v>3.7889739612693267</c:v>
                </c:pt>
                <c:pt idx="9">
                  <c:v>3.8468648589463612</c:v>
                </c:pt>
                <c:pt idx="10">
                  <c:v>3.9053345255601633</c:v>
                </c:pt>
                <c:pt idx="11">
                  <c:v>3.9643887657345696</c:v>
                </c:pt>
              </c:numCache>
            </c:numRef>
          </c:val>
          <c:smooth val="0"/>
          <c:extLst>
            <c:ext xmlns:c16="http://schemas.microsoft.com/office/drawing/2014/chart" uri="{C3380CC4-5D6E-409C-BE32-E72D297353CC}">
              <c16:uniqueId val="{00000001-CCC8-4A07-B71A-BB08E9B98130}"/>
            </c:ext>
          </c:extLst>
        </c:ser>
        <c:ser>
          <c:idx val="2"/>
          <c:order val="2"/>
          <c:tx>
            <c:v>Cumulated Contribution</c:v>
          </c:tx>
          <c:spPr>
            <a:ln w="38100">
              <a:solidFill>
                <a:srgbClr val="008000"/>
              </a:solidFill>
              <a:prstDash val="solid"/>
            </a:ln>
          </c:spPr>
          <c:marker>
            <c:symbol val="none"/>
          </c:marker>
          <c:dPt>
            <c:idx val="3"/>
            <c:marker>
              <c:symbol val="circle"/>
              <c:size val="10"/>
              <c:spPr>
                <a:solidFill>
                  <a:srgbClr val="CCFFCC"/>
                </a:solidFill>
                <a:ln>
                  <a:solidFill>
                    <a:srgbClr val="000000"/>
                  </a:solidFill>
                  <a:prstDash val="solid"/>
                </a:ln>
                <a:effectLst>
                  <a:outerShdw dist="35921" dir="2700000" algn="br">
                    <a:srgbClr val="000000"/>
                  </a:outerShdw>
                </a:effectLst>
              </c:spPr>
            </c:marker>
            <c:bubble3D val="0"/>
            <c:extLst>
              <c:ext xmlns:c16="http://schemas.microsoft.com/office/drawing/2014/chart" uri="{C3380CC4-5D6E-409C-BE32-E72D297353CC}">
                <c16:uniqueId val="{00000003-CCC8-4A07-B71A-BB08E9B98130}"/>
              </c:ext>
            </c:extLst>
          </c:dPt>
          <c:dPt>
            <c:idx val="11"/>
            <c:marker>
              <c:symbol val="circle"/>
              <c:size val="10"/>
              <c:spPr>
                <a:solidFill>
                  <a:srgbClr val="CCFFCC"/>
                </a:solidFill>
                <a:ln>
                  <a:solidFill>
                    <a:srgbClr val="000000"/>
                  </a:solidFill>
                  <a:prstDash val="solid"/>
                </a:ln>
                <a:effectLst>
                  <a:outerShdw dist="35921" dir="2700000" algn="br">
                    <a:srgbClr val="000000"/>
                  </a:outerShdw>
                </a:effectLst>
              </c:spPr>
            </c:marker>
            <c:bubble3D val="0"/>
            <c:extLst>
              <c:ext xmlns:c16="http://schemas.microsoft.com/office/drawing/2014/chart" uri="{C3380CC4-5D6E-409C-BE32-E72D297353CC}">
                <c16:uniqueId val="{00000005-CCC8-4A07-B71A-BB08E9B98130}"/>
              </c:ext>
            </c:extLst>
          </c:dPt>
          <c:dLbls>
            <c:dLbl>
              <c:idx val="3"/>
              <c:spPr>
                <a:noFill/>
                <a:ln w="25400">
                  <a:noFill/>
                </a:ln>
              </c:spPr>
              <c:txPr>
                <a:bodyPr/>
                <a:lstStyle/>
                <a:p>
                  <a:pPr>
                    <a:defRPr sz="800" b="0" i="0" u="none" strike="noStrike" baseline="0">
                      <a:solidFill>
                        <a:srgbClr val="000000"/>
                      </a:solidFill>
                      <a:latin typeface="Arial"/>
                      <a:ea typeface="Arial"/>
                      <a:cs typeface="Arial"/>
                    </a:defRPr>
                  </a:pPr>
                  <a:endParaRPr lang="en-US"/>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CCC8-4A07-B71A-BB08E9B98130}"/>
                </c:ext>
              </c:extLst>
            </c:dLbl>
            <c:dLbl>
              <c:idx val="11"/>
              <c:spPr>
                <a:noFill/>
                <a:ln w="25400">
                  <a:noFill/>
                </a:ln>
              </c:spPr>
              <c:txPr>
                <a:bodyPr/>
                <a:lstStyle/>
                <a:p>
                  <a:pPr>
                    <a:defRPr sz="800" b="0" i="0" u="none" strike="noStrike" baseline="0">
                      <a:solidFill>
                        <a:srgbClr val="000000"/>
                      </a:solidFill>
                      <a:latin typeface="Arial"/>
                      <a:ea typeface="Arial"/>
                      <a:cs typeface="Arial"/>
                    </a:defRPr>
                  </a:pPr>
                  <a:endParaRPr lang="en-US"/>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CCC8-4A07-B71A-BB08E9B98130}"/>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strRef>
              <c:f>Forecasting!$B$17:$B$28</c:f>
              <c:strCache>
                <c:ptCount val="12"/>
                <c:pt idx="0">
                  <c:v>Q1</c:v>
                </c:pt>
                <c:pt idx="1">
                  <c:v>Q2</c:v>
                </c:pt>
                <c:pt idx="2">
                  <c:v>Q3</c:v>
                </c:pt>
                <c:pt idx="3">
                  <c:v>Q4</c:v>
                </c:pt>
                <c:pt idx="4">
                  <c:v>Q1</c:v>
                </c:pt>
                <c:pt idx="5">
                  <c:v>Q2</c:v>
                </c:pt>
                <c:pt idx="6">
                  <c:v>Q3</c:v>
                </c:pt>
                <c:pt idx="7">
                  <c:v>Q4</c:v>
                </c:pt>
                <c:pt idx="8">
                  <c:v>Q1</c:v>
                </c:pt>
                <c:pt idx="9">
                  <c:v>Q2</c:v>
                </c:pt>
                <c:pt idx="10">
                  <c:v>Q3</c:v>
                </c:pt>
                <c:pt idx="11">
                  <c:v>Q4</c:v>
                </c:pt>
              </c:strCache>
            </c:strRef>
          </c:cat>
          <c:val>
            <c:numRef>
              <c:f>Forecasting!$N$17:$N$28</c:f>
              <c:numCache>
                <c:formatCode>0.0\ "M$"</c:formatCode>
                <c:ptCount val="12"/>
                <c:pt idx="0">
                  <c:v>3.3460036940557245</c:v>
                </c:pt>
                <c:pt idx="1">
                  <c:v>6.7454706724006206</c:v>
                </c:pt>
                <c:pt idx="2">
                  <c:v>10.198935175188943</c:v>
                </c:pt>
                <c:pt idx="3">
                  <c:v>13.706936832462723</c:v>
                </c:pt>
                <c:pt idx="4">
                  <c:v>17.270020712308337</c:v>
                </c:pt>
                <c:pt idx="5">
                  <c:v>20.88873737018902</c:v>
                </c:pt>
                <c:pt idx="6">
                  <c:v>24.563642899381136</c:v>
                </c:pt>
                <c:pt idx="7">
                  <c:v>28.295298982451435</c:v>
                </c:pt>
                <c:pt idx="8">
                  <c:v>32.084272943720762</c:v>
                </c:pt>
                <c:pt idx="9">
                  <c:v>35.931137802667124</c:v>
                </c:pt>
                <c:pt idx="10">
                  <c:v>39.836472328227288</c:v>
                </c:pt>
                <c:pt idx="11">
                  <c:v>43.800861093961856</c:v>
                </c:pt>
              </c:numCache>
            </c:numRef>
          </c:val>
          <c:smooth val="1"/>
          <c:extLst>
            <c:ext xmlns:c16="http://schemas.microsoft.com/office/drawing/2014/chart" uri="{C3380CC4-5D6E-409C-BE32-E72D297353CC}">
              <c16:uniqueId val="{00000006-CCC8-4A07-B71A-BB08E9B98130}"/>
            </c:ext>
          </c:extLst>
        </c:ser>
        <c:dLbls>
          <c:showLegendKey val="0"/>
          <c:showVal val="0"/>
          <c:showCatName val="0"/>
          <c:showSerName val="0"/>
          <c:showPercent val="0"/>
          <c:showBubbleSize val="0"/>
        </c:dLbls>
        <c:smooth val="0"/>
        <c:axId val="2014031088"/>
        <c:axId val="1"/>
      </c:lineChart>
      <c:catAx>
        <c:axId val="2014031088"/>
        <c:scaling>
          <c:orientation val="minMax"/>
        </c:scaling>
        <c:delete val="0"/>
        <c:axPos val="b"/>
        <c:title>
          <c:tx>
            <c:rich>
              <a:bodyPr/>
              <a:lstStyle/>
              <a:p>
                <a:pPr>
                  <a:defRPr sz="1000" b="1" i="0" u="none" strike="noStrike" baseline="0">
                    <a:solidFill>
                      <a:srgbClr val="000000"/>
                    </a:solidFill>
                    <a:latin typeface="Arial"/>
                    <a:ea typeface="Arial"/>
                    <a:cs typeface="Arial"/>
                  </a:defRPr>
                </a:pPr>
                <a:r>
                  <a:rPr lang="en-US"/>
                  <a:t>Period</a:t>
                </a:r>
              </a:p>
            </c:rich>
          </c:tx>
          <c:layout>
            <c:manualLayout>
              <c:xMode val="edge"/>
              <c:yMode val="edge"/>
              <c:x val="0.41333333333333333"/>
              <c:y val="0.94553376906318087"/>
            </c:manualLayout>
          </c:layout>
          <c:overlay val="0"/>
          <c:spPr>
            <a:noFill/>
            <a:ln w="25400">
              <a:noFill/>
            </a:ln>
          </c:spPr>
        </c:title>
        <c:numFmt formatCode="General" sourceLinked="1"/>
        <c:majorTickMark val="out"/>
        <c:minorTickMark val="none"/>
        <c:tickLblPos val="nextTo"/>
        <c:spPr>
          <a:ln w="3175">
            <a:solidFill>
              <a:srgbClr val="000000"/>
            </a:solidFill>
            <a:prstDash val="solid"/>
          </a:ln>
        </c:spPr>
        <c:txPr>
          <a:bodyPr rot="0" vert="horz"/>
          <a:lstStyle/>
          <a:p>
            <a:pPr>
              <a:defRPr sz="925" b="0" i="0" u="none" strike="noStrike" baseline="0">
                <a:solidFill>
                  <a:srgbClr val="000000"/>
                </a:solidFill>
                <a:latin typeface="Arial"/>
                <a:ea typeface="Arial"/>
                <a:cs typeface="Arial"/>
              </a:defRPr>
            </a:pPr>
            <a:endParaRPr lang="en-US"/>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C0C0C0"/>
              </a:solidFill>
              <a:prstDash val="sysDash"/>
            </a:ln>
          </c:spPr>
        </c:majorGridlines>
        <c:title>
          <c:tx>
            <c:rich>
              <a:bodyPr/>
              <a:lstStyle/>
              <a:p>
                <a:pPr>
                  <a:defRPr sz="1000" b="1" i="0" u="none" strike="noStrike" baseline="0">
                    <a:solidFill>
                      <a:srgbClr val="000000"/>
                    </a:solidFill>
                    <a:latin typeface="Arial"/>
                    <a:ea typeface="Arial"/>
                    <a:cs typeface="Arial"/>
                  </a:defRPr>
                </a:pPr>
                <a:r>
                  <a:rPr lang="en-US"/>
                  <a:t>Contribution</a:t>
                </a:r>
              </a:p>
            </c:rich>
          </c:tx>
          <c:layout>
            <c:manualLayout>
              <c:xMode val="edge"/>
              <c:yMode val="edge"/>
              <c:x val="1.037037037037037E-2"/>
              <c:y val="0.43899782135076254"/>
            </c:manualLayout>
          </c:layout>
          <c:overlay val="0"/>
          <c:spPr>
            <a:noFill/>
            <a:ln w="25400">
              <a:noFill/>
            </a:ln>
          </c:spPr>
        </c:title>
        <c:numFmt formatCode="0\ &quot;M$&quot;"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2014031088"/>
        <c:crosses val="autoZero"/>
        <c:crossBetween val="between"/>
      </c:valAx>
      <c:spPr>
        <a:solidFill>
          <a:srgbClr val="FFFFFF"/>
        </a:solidFill>
        <a:ln w="12700">
          <a:solidFill>
            <a:srgbClr val="808080"/>
          </a:solidFill>
          <a:prstDash val="solid"/>
        </a:ln>
      </c:spPr>
    </c:plotArea>
    <c:legend>
      <c:legendPos val="r"/>
      <c:layout>
        <c:manualLayout>
          <c:xMode val="edge"/>
          <c:yMode val="edge"/>
          <c:x val="0.80592592592592593"/>
          <c:y val="0.46078431372549017"/>
          <c:w val="0.19111111111111112"/>
          <c:h val="9.2592592592592587E-2"/>
        </c:manualLayout>
      </c:layout>
      <c:overlay val="0"/>
      <c:spPr>
        <a:solidFill>
          <a:srgbClr val="FFFFFF"/>
        </a:solidFill>
        <a:ln w="3175">
          <a:solidFill>
            <a:srgbClr val="000000"/>
          </a:solidFill>
          <a:prstDash val="solid"/>
        </a:ln>
      </c:spPr>
      <c:txPr>
        <a:bodyPr/>
        <a:lstStyle/>
        <a:p>
          <a:pPr>
            <a:defRPr sz="850" b="0" i="0" u="none" strike="noStrike" baseline="0">
              <a:solidFill>
                <a:srgbClr val="000000"/>
              </a:solidFill>
              <a:latin typeface="Arial"/>
              <a:ea typeface="Arial"/>
              <a:cs typeface="Arial"/>
            </a:defRPr>
          </a:pPr>
          <a:endParaRPr lang="en-US"/>
        </a:p>
      </c:txPr>
    </c:legend>
    <c:plotVisOnly val="1"/>
    <c:dispBlanksAs val="gap"/>
    <c:showDLblsOverMax val="0"/>
  </c:chart>
  <c:spPr>
    <a:noFill/>
    <a:ln w="6350">
      <a:noFill/>
    </a:ln>
  </c:spPr>
  <c:txPr>
    <a:bodyPr/>
    <a:lstStyle/>
    <a:p>
      <a:pPr>
        <a:defRPr sz="925" b="0" i="0" u="none" strike="noStrike" baseline="0">
          <a:solidFill>
            <a:srgbClr val="000000"/>
          </a:solidFill>
          <a:latin typeface="Arial"/>
          <a:ea typeface="Arial"/>
          <a:cs typeface="Arial"/>
        </a:defRPr>
      </a:pPr>
      <a:endParaRPr lang="en-US"/>
    </a:p>
  </c:txPr>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heets/_rels/sheet1.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3.bin"/></Relationships>
</file>

<file path=xl/chartsheets/_rels/sheet2.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4.bin"/></Relationships>
</file>

<file path=xl/chartsheets/sheet1.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0500-000000000000}">
  <sheetPr/>
  <sheetViews>
    <sheetView zoomScale="137" workbookViewId="0"/>
  </sheetViews>
  <pageMargins left="0.75" right="0.75" top="1" bottom="1" header="0.5" footer="0.5"/>
  <pageSetup orientation="landscape" horizontalDpi="200" verticalDpi="200" r:id="rId1"/>
  <headerFooter alignWithMargins="0"/>
  <drawing r:id="rId2"/>
</chartsheet>
</file>

<file path=xl/chartsheets/sheet2.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0600-000000000000}">
  <sheetPr/>
  <sheetViews>
    <sheetView zoomScale="137" workbookViewId="0"/>
  </sheetViews>
  <pageMargins left="0.75" right="0.75" top="1" bottom="1" header="0.5" footer="0.5"/>
  <pageSetup orientation="landscape" horizontalDpi="200" verticalDpi="200" r:id="rId1"/>
  <headerFooter alignWithMargins="0"/>
  <drawing r:id="rId2"/>
</chartsheet>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chart" Target="../charts/chart1.xml"/><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chart" Target="../charts/chart2.xml"/></Relationships>
</file>

<file path=xl/drawings/_rels/drawing5.xml.rels><?xml version="1.0" encoding="UTF-8" standalone="yes"?>
<Relationships xmlns="http://schemas.openxmlformats.org/package/2006/relationships"><Relationship Id="rId1" Type="http://schemas.openxmlformats.org/officeDocument/2006/relationships/chart" Target="../charts/chart3.xml"/></Relationships>
</file>

<file path=xl/drawings/_rels/drawing6.xml.rels><?xml version="1.0" encoding="UTF-8" standalone="yes"?>
<Relationships xmlns="http://schemas.openxmlformats.org/package/2006/relationships"><Relationship Id="rId1"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editAs="oneCell">
    <xdr:from>
      <xdr:col>0</xdr:col>
      <xdr:colOff>6794500</xdr:colOff>
      <xdr:row>0</xdr:row>
      <xdr:rowOff>0</xdr:rowOff>
    </xdr:from>
    <xdr:to>
      <xdr:col>0</xdr:col>
      <xdr:colOff>9686712</xdr:colOff>
      <xdr:row>0</xdr:row>
      <xdr:rowOff>889000</xdr:rowOff>
    </xdr:to>
    <xdr:pic>
      <xdr:nvPicPr>
        <xdr:cNvPr id="2" name="Picture 1">
          <a:extLst>
            <a:ext uri="{FF2B5EF4-FFF2-40B4-BE49-F238E27FC236}">
              <a16:creationId xmlns:a16="http://schemas.microsoft.com/office/drawing/2014/main" id="{81F893AF-A38D-49FB-A4B7-C025EBC0D4EE}"/>
            </a:ext>
          </a:extLst>
        </xdr:cNvPr>
        <xdr:cNvPicPr>
          <a:picLocks noChangeAspect="1"/>
        </xdr:cNvPicPr>
      </xdr:nvPicPr>
      <xdr:blipFill>
        <a:blip xmlns:r="http://schemas.openxmlformats.org/officeDocument/2006/relationships" r:embed="rId1"/>
        <a:stretch>
          <a:fillRect/>
        </a:stretch>
      </xdr:blipFill>
      <xdr:spPr>
        <a:xfrm>
          <a:off x="6794500" y="0"/>
          <a:ext cx="2892212" cy="889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406855</xdr:colOff>
      <xdr:row>4</xdr:row>
      <xdr:rowOff>16054</xdr:rowOff>
    </xdr:to>
    <xdr:pic>
      <xdr:nvPicPr>
        <xdr:cNvPr id="2" name="Picture 1">
          <a:extLst>
            <a:ext uri="{FF2B5EF4-FFF2-40B4-BE49-F238E27FC236}">
              <a16:creationId xmlns:a16="http://schemas.microsoft.com/office/drawing/2014/main" id="{2E2C242C-2520-4DDA-92EA-0C9628DE7899}"/>
            </a:ext>
          </a:extLst>
        </xdr:cNvPr>
        <xdr:cNvPicPr>
          <a:picLocks noChangeAspect="1"/>
        </xdr:cNvPicPr>
      </xdr:nvPicPr>
      <xdr:blipFill>
        <a:blip xmlns:r="http://schemas.openxmlformats.org/officeDocument/2006/relationships" r:embed="rId1"/>
        <a:stretch>
          <a:fillRect/>
        </a:stretch>
      </xdr:blipFill>
      <xdr:spPr>
        <a:xfrm>
          <a:off x="0" y="0"/>
          <a:ext cx="3258005" cy="1286054"/>
        </a:xfrm>
        <a:prstGeom prst="rect">
          <a:avLst/>
        </a:prstGeom>
      </xdr:spPr>
    </xdr:pic>
    <xdr:clientData/>
  </xdr:twoCellAnchor>
  <xdr:twoCellAnchor>
    <xdr:from>
      <xdr:col>4</xdr:col>
      <xdr:colOff>415924</xdr:colOff>
      <xdr:row>8</xdr:row>
      <xdr:rowOff>34924</xdr:rowOff>
    </xdr:from>
    <xdr:to>
      <xdr:col>12</xdr:col>
      <xdr:colOff>425449</xdr:colOff>
      <xdr:row>28</xdr:row>
      <xdr:rowOff>31749</xdr:rowOff>
    </xdr:to>
    <xdr:graphicFrame macro="">
      <xdr:nvGraphicFramePr>
        <xdr:cNvPr id="4" name="Chart 3">
          <a:extLst>
            <a:ext uri="{FF2B5EF4-FFF2-40B4-BE49-F238E27FC236}">
              <a16:creationId xmlns:a16="http://schemas.microsoft.com/office/drawing/2014/main" id="{9FEC41D4-32BF-4A84-9252-DA283F776B6B}"/>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2</xdr:col>
      <xdr:colOff>0</xdr:colOff>
      <xdr:row>13</xdr:row>
      <xdr:rowOff>0</xdr:rowOff>
    </xdr:from>
    <xdr:to>
      <xdr:col>2</xdr:col>
      <xdr:colOff>0</xdr:colOff>
      <xdr:row>13</xdr:row>
      <xdr:rowOff>0</xdr:rowOff>
    </xdr:to>
    <xdr:sp macro="" textlink="">
      <xdr:nvSpPr>
        <xdr:cNvPr id="1026" name="Text Box 2">
          <a:extLst>
            <a:ext uri="{FF2B5EF4-FFF2-40B4-BE49-F238E27FC236}">
              <a16:creationId xmlns:a16="http://schemas.microsoft.com/office/drawing/2014/main" id="{66D1061C-3809-4C48-9F58-85EDB13E6C71}"/>
            </a:ext>
          </a:extLst>
        </xdr:cNvPr>
        <xdr:cNvSpPr txBox="1">
          <a:spLocks noChangeArrowheads="1"/>
        </xdr:cNvSpPr>
      </xdr:nvSpPr>
      <xdr:spPr bwMode="auto">
        <a:xfrm>
          <a:off x="927100" y="3517900"/>
          <a:ext cx="0" cy="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45720" tIns="36576" rIns="0" bIns="0" anchor="t" upright="1"/>
        <a:lstStyle/>
        <a:p>
          <a:pPr algn="l" rtl="0">
            <a:defRPr sz="1000"/>
          </a:pPr>
          <a:r>
            <a:rPr lang="en-US" sz="1200" b="1" i="0" u="sng" strike="noStrike" baseline="0">
              <a:solidFill>
                <a:srgbClr val="000000"/>
              </a:solidFill>
              <a:latin typeface="Arial"/>
              <a:cs typeface="Arial"/>
            </a:rPr>
            <a:t>Introduction:</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In a value-in-use analysis, you evaluate the difference between the (total, discounted) lifetime cost of a product and the cost of the current or incumbent product a customer or a customer segment is using.</a:t>
          </a:r>
        </a:p>
        <a:p>
          <a:pPr algn="l" rtl="0">
            <a:defRPr sz="1000"/>
          </a:pPr>
          <a:r>
            <a:rPr lang="en-US" sz="1000" b="0" i="0" u="none" strike="noStrike" baseline="0">
              <a:solidFill>
                <a:srgbClr val="000000"/>
              </a:solidFill>
              <a:latin typeface="Arial"/>
              <a:cs typeface="Arial"/>
            </a:rPr>
            <a:t>Such analysis can be a powerful tool the salesperson ca use to persuade the customer of the value of a product.</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Abcor Industries, a division of Conglomerate Inc, as developped a Value-in-Use Analysis software tool to support contract negotiations for its new line of engraving equipment (and related plates) for use in the printing and engraving industry</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4</xdr:col>
      <xdr:colOff>139700</xdr:colOff>
      <xdr:row>17</xdr:row>
      <xdr:rowOff>95250</xdr:rowOff>
    </xdr:from>
    <xdr:to>
      <xdr:col>6</xdr:col>
      <xdr:colOff>812800</xdr:colOff>
      <xdr:row>17</xdr:row>
      <xdr:rowOff>95250</xdr:rowOff>
    </xdr:to>
    <xdr:sp macro="" textlink="">
      <xdr:nvSpPr>
        <xdr:cNvPr id="5121" name="Line 1">
          <a:extLst>
            <a:ext uri="{FF2B5EF4-FFF2-40B4-BE49-F238E27FC236}">
              <a16:creationId xmlns:a16="http://schemas.microsoft.com/office/drawing/2014/main" id="{2CFB469F-4CD2-49CD-8622-C06E64DBFEF7}"/>
            </a:ext>
          </a:extLst>
        </xdr:cNvPr>
        <xdr:cNvSpPr>
          <a:spLocks noChangeShapeType="1"/>
        </xdr:cNvSpPr>
      </xdr:nvSpPr>
      <xdr:spPr bwMode="auto">
        <a:xfrm>
          <a:off x="3225800" y="3276600"/>
          <a:ext cx="24638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4</xdr:col>
      <xdr:colOff>139700</xdr:colOff>
      <xdr:row>5</xdr:row>
      <xdr:rowOff>0</xdr:rowOff>
    </xdr:from>
    <xdr:to>
      <xdr:col>4</xdr:col>
      <xdr:colOff>139700</xdr:colOff>
      <xdr:row>17</xdr:row>
      <xdr:rowOff>95250</xdr:rowOff>
    </xdr:to>
    <xdr:sp macro="" textlink="">
      <xdr:nvSpPr>
        <xdr:cNvPr id="5122" name="Line 2">
          <a:extLst>
            <a:ext uri="{FF2B5EF4-FFF2-40B4-BE49-F238E27FC236}">
              <a16:creationId xmlns:a16="http://schemas.microsoft.com/office/drawing/2014/main" id="{D6864150-1D67-4CB4-B2DC-36B10431F25C}"/>
            </a:ext>
          </a:extLst>
        </xdr:cNvPr>
        <xdr:cNvSpPr>
          <a:spLocks noChangeShapeType="1"/>
        </xdr:cNvSpPr>
      </xdr:nvSpPr>
      <xdr:spPr bwMode="auto">
        <a:xfrm flipV="1">
          <a:off x="3225800" y="895350"/>
          <a:ext cx="0" cy="238125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4</xdr:col>
      <xdr:colOff>152400</xdr:colOff>
      <xdr:row>11</xdr:row>
      <xdr:rowOff>82550</xdr:rowOff>
    </xdr:from>
    <xdr:to>
      <xdr:col>6</xdr:col>
      <xdr:colOff>825500</xdr:colOff>
      <xdr:row>11</xdr:row>
      <xdr:rowOff>82550</xdr:rowOff>
    </xdr:to>
    <xdr:sp macro="" textlink="">
      <xdr:nvSpPr>
        <xdr:cNvPr id="5123" name="Line 3">
          <a:extLst>
            <a:ext uri="{FF2B5EF4-FFF2-40B4-BE49-F238E27FC236}">
              <a16:creationId xmlns:a16="http://schemas.microsoft.com/office/drawing/2014/main" id="{3C27F61E-C511-44F9-9530-658DD60A860C}"/>
            </a:ext>
          </a:extLst>
        </xdr:cNvPr>
        <xdr:cNvSpPr>
          <a:spLocks noChangeShapeType="1"/>
        </xdr:cNvSpPr>
      </xdr:nvSpPr>
      <xdr:spPr bwMode="auto">
        <a:xfrm>
          <a:off x="3238500" y="2120900"/>
          <a:ext cx="2463800" cy="0"/>
        </a:xfrm>
        <a:prstGeom prst="line">
          <a:avLst/>
        </a:prstGeom>
        <a:noFill/>
        <a:ln w="9525">
          <a:solidFill>
            <a:srgbClr xmlns:mc="http://schemas.openxmlformats.org/markup-compatibility/2006" xmlns:a14="http://schemas.microsoft.com/office/drawing/2010/main" val="000000" mc:Ignorable="a14" a14:legacySpreadsheetColorIndex="64"/>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4</xdr:col>
      <xdr:colOff>152400</xdr:colOff>
      <xdr:row>5</xdr:row>
      <xdr:rowOff>95250</xdr:rowOff>
    </xdr:from>
    <xdr:to>
      <xdr:col>6</xdr:col>
      <xdr:colOff>844550</xdr:colOff>
      <xdr:row>11</xdr:row>
      <xdr:rowOff>82550</xdr:rowOff>
    </xdr:to>
    <xdr:sp macro="" textlink="">
      <xdr:nvSpPr>
        <xdr:cNvPr id="5124" name="Line 4">
          <a:extLst>
            <a:ext uri="{FF2B5EF4-FFF2-40B4-BE49-F238E27FC236}">
              <a16:creationId xmlns:a16="http://schemas.microsoft.com/office/drawing/2014/main" id="{A8419294-BC74-4005-B638-F314E5416B47}"/>
            </a:ext>
          </a:extLst>
        </xdr:cNvPr>
        <xdr:cNvSpPr>
          <a:spLocks noChangeShapeType="1"/>
        </xdr:cNvSpPr>
      </xdr:nvSpPr>
      <xdr:spPr bwMode="auto">
        <a:xfrm flipV="1">
          <a:off x="3238500" y="990600"/>
          <a:ext cx="2482850" cy="1130300"/>
        </a:xfrm>
        <a:prstGeom prst="line">
          <a:avLst/>
        </a:prstGeom>
        <a:noFill/>
        <a:ln w="9525">
          <a:solidFill>
            <a:srgbClr xmlns:mc="http://schemas.openxmlformats.org/markup-compatibility/2006" xmlns:a14="http://schemas.microsoft.com/office/drawing/2010/main" val="000000" mc:Ignorable="a14" a14:legacySpreadsheetColorIndex="64"/>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4</xdr:col>
      <xdr:colOff>139700</xdr:colOff>
      <xdr:row>8</xdr:row>
      <xdr:rowOff>107950</xdr:rowOff>
    </xdr:from>
    <xdr:to>
      <xdr:col>6</xdr:col>
      <xdr:colOff>838200</xdr:colOff>
      <xdr:row>11</xdr:row>
      <xdr:rowOff>82550</xdr:rowOff>
    </xdr:to>
    <xdr:sp macro="" textlink="">
      <xdr:nvSpPr>
        <xdr:cNvPr id="5125" name="Line 5">
          <a:extLst>
            <a:ext uri="{FF2B5EF4-FFF2-40B4-BE49-F238E27FC236}">
              <a16:creationId xmlns:a16="http://schemas.microsoft.com/office/drawing/2014/main" id="{FE8AD781-E94B-437F-9FFB-AD34032A49B1}"/>
            </a:ext>
          </a:extLst>
        </xdr:cNvPr>
        <xdr:cNvSpPr>
          <a:spLocks noChangeShapeType="1"/>
        </xdr:cNvSpPr>
      </xdr:nvSpPr>
      <xdr:spPr bwMode="auto">
        <a:xfrm flipV="1">
          <a:off x="3225800" y="1574800"/>
          <a:ext cx="2489200" cy="546100"/>
        </a:xfrm>
        <a:prstGeom prst="line">
          <a:avLst/>
        </a:prstGeom>
        <a:noFill/>
        <a:ln w="9525">
          <a:solidFill>
            <a:srgbClr xmlns:mc="http://schemas.openxmlformats.org/markup-compatibility/2006" xmlns:a14="http://schemas.microsoft.com/office/drawing/2010/main" val="000000" mc:Ignorable="a14" a14:legacySpreadsheetColorIndex="64"/>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4</xdr:col>
      <xdr:colOff>127000</xdr:colOff>
      <xdr:row>11</xdr:row>
      <xdr:rowOff>82550</xdr:rowOff>
    </xdr:from>
    <xdr:to>
      <xdr:col>6</xdr:col>
      <xdr:colOff>806450</xdr:colOff>
      <xdr:row>14</xdr:row>
      <xdr:rowOff>69850</xdr:rowOff>
    </xdr:to>
    <xdr:sp macro="" textlink="">
      <xdr:nvSpPr>
        <xdr:cNvPr id="5126" name="Line 6">
          <a:extLst>
            <a:ext uri="{FF2B5EF4-FFF2-40B4-BE49-F238E27FC236}">
              <a16:creationId xmlns:a16="http://schemas.microsoft.com/office/drawing/2014/main" id="{ECE2A5D0-5841-4D62-A7EB-6F5D18F95D31}"/>
            </a:ext>
          </a:extLst>
        </xdr:cNvPr>
        <xdr:cNvSpPr>
          <a:spLocks noChangeShapeType="1"/>
        </xdr:cNvSpPr>
      </xdr:nvSpPr>
      <xdr:spPr bwMode="auto">
        <a:xfrm>
          <a:off x="3213100" y="2120900"/>
          <a:ext cx="2470150" cy="558800"/>
        </a:xfrm>
        <a:prstGeom prst="line">
          <a:avLst/>
        </a:prstGeom>
        <a:noFill/>
        <a:ln w="9525">
          <a:solidFill>
            <a:srgbClr xmlns:mc="http://schemas.openxmlformats.org/markup-compatibility/2006" xmlns:a14="http://schemas.microsoft.com/office/drawing/2010/main" val="000000" mc:Ignorable="a14" a14:legacySpreadsheetColorIndex="64"/>
          </a:solidFill>
          <a:prstDash val="dash"/>
          <a:round/>
          <a:headEnd/>
          <a:tailEnd/>
        </a:ln>
        <a:extLst>
          <a:ext uri="{909E8E84-426E-40DD-AFC4-6F175D3DCCD1}">
            <a14:hiddenFill xmlns:a14="http://schemas.microsoft.com/office/drawing/2010/main">
              <a:noFill/>
            </a14:hiddenFill>
          </a:ext>
        </a:extLst>
      </xdr:spPr>
    </xdr:sp>
    <xdr:clientData/>
  </xdr:twoCellAnchor>
  <xdr:oneCellAnchor>
    <xdr:from>
      <xdr:col>5</xdr:col>
      <xdr:colOff>696675</xdr:colOff>
      <xdr:row>14</xdr:row>
      <xdr:rowOff>0</xdr:rowOff>
    </xdr:from>
    <xdr:ext cx="791050" cy="141001"/>
    <xdr:sp macro="" textlink="">
      <xdr:nvSpPr>
        <xdr:cNvPr id="5129" name="Text Box 9">
          <a:extLst>
            <a:ext uri="{FF2B5EF4-FFF2-40B4-BE49-F238E27FC236}">
              <a16:creationId xmlns:a16="http://schemas.microsoft.com/office/drawing/2014/main" id="{09AE7FDE-EE6C-4733-84BC-80B59D696787}"/>
            </a:ext>
          </a:extLst>
        </xdr:cNvPr>
        <xdr:cNvSpPr txBox="1">
          <a:spLocks noChangeArrowheads="1"/>
        </xdr:cNvSpPr>
      </xdr:nvSpPr>
      <xdr:spPr bwMode="auto">
        <a:xfrm>
          <a:off x="4678125" y="2609850"/>
          <a:ext cx="791050" cy="141001"/>
        </a:xfrm>
        <a:prstGeom prst="rect">
          <a:avLst/>
        </a:prstGeom>
        <a:solidFill>
          <a:srgbClr val="FFFFFF">
            <a:alpha val="50000"/>
          </a:srgbClr>
        </a:solidFill>
        <a:ln>
          <a:noFill/>
        </a:ln>
        <a:effectLst/>
        <a:extLst>
          <a:ext uri="{91240B29-F687-4F45-9708-019B960494DF}">
            <a14:hiddenLine xmlns:a14="http://schemas.microsoft.com/office/drawing/2010/main" w="9525" algn="ctr">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wrap="none" lIns="27432" tIns="22860" rIns="27432" bIns="0" anchor="t" upright="1">
          <a:spAutoFit/>
        </a:bodyPr>
        <a:lstStyle/>
        <a:p>
          <a:pPr algn="ctr" rtl="0">
            <a:defRPr sz="1000"/>
          </a:pPr>
          <a:r>
            <a:rPr lang="en-US" sz="800" b="0" i="0" u="none" strike="noStrike" baseline="0">
              <a:solidFill>
                <a:srgbClr val="000000"/>
              </a:solidFill>
              <a:latin typeface="Arial"/>
              <a:cs typeface="Arial"/>
            </a:rPr>
            <a:t>Zero advertising</a:t>
          </a:r>
        </a:p>
      </xdr:txBody>
    </xdr:sp>
    <xdr:clientData/>
  </xdr:oneCellAnchor>
  <xdr:oneCellAnchor>
    <xdr:from>
      <xdr:col>5</xdr:col>
      <xdr:colOff>314711</xdr:colOff>
      <xdr:row>10</xdr:row>
      <xdr:rowOff>114300</xdr:rowOff>
    </xdr:from>
    <xdr:ext cx="1167628" cy="141001"/>
    <xdr:sp macro="" textlink="">
      <xdr:nvSpPr>
        <xdr:cNvPr id="5130" name="Text Box 10">
          <a:extLst>
            <a:ext uri="{FF2B5EF4-FFF2-40B4-BE49-F238E27FC236}">
              <a16:creationId xmlns:a16="http://schemas.microsoft.com/office/drawing/2014/main" id="{F3A9D772-6E86-4603-8D31-2E8542FA5B1D}"/>
            </a:ext>
          </a:extLst>
        </xdr:cNvPr>
        <xdr:cNvSpPr txBox="1">
          <a:spLocks noChangeArrowheads="1"/>
        </xdr:cNvSpPr>
      </xdr:nvSpPr>
      <xdr:spPr bwMode="auto">
        <a:xfrm>
          <a:off x="4296161" y="1962150"/>
          <a:ext cx="1167628" cy="141001"/>
        </a:xfrm>
        <a:prstGeom prst="rect">
          <a:avLst/>
        </a:prstGeom>
        <a:noFill/>
        <a:ln>
          <a:noFill/>
        </a:ln>
        <a:effectLst/>
        <a:extLst>
          <a:ext uri="{909E8E84-426E-40DD-AFC4-6F175D3DCCD1}">
            <a14:hiddenFill xmlns:a14="http://schemas.microsoft.com/office/drawing/2010/main">
              <a:solidFill>
                <a:srgbClr val="FFFFFF">
                  <a:alpha val="50000"/>
                </a:srgbClr>
              </a:solidFill>
            </a14:hiddenFill>
          </a:ext>
          <a:ext uri="{91240B29-F687-4F45-9708-019B960494DF}">
            <a14:hiddenLine xmlns:a14="http://schemas.microsoft.com/office/drawing/2010/main" w="9525" algn="ctr">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wrap="none" lIns="27432" tIns="22860" rIns="27432" bIns="0" anchor="t" upright="1">
          <a:spAutoFit/>
        </a:bodyPr>
        <a:lstStyle/>
        <a:p>
          <a:pPr algn="ctr" rtl="0">
            <a:defRPr sz="1000"/>
          </a:pPr>
          <a:r>
            <a:rPr lang="en-US" sz="800" b="0" i="0" u="none" strike="noStrike" baseline="0">
              <a:solidFill>
                <a:srgbClr val="000000"/>
              </a:solidFill>
              <a:latin typeface="Arial"/>
              <a:cs typeface="Arial"/>
            </a:rPr>
            <a:t>Maintenance advertising</a:t>
          </a:r>
        </a:p>
      </xdr:txBody>
    </xdr:sp>
    <xdr:clientData/>
  </xdr:oneCellAnchor>
  <xdr:oneCellAnchor>
    <xdr:from>
      <xdr:col>6</xdr:col>
      <xdr:colOff>57150</xdr:colOff>
      <xdr:row>7</xdr:row>
      <xdr:rowOff>82550</xdr:rowOff>
    </xdr:from>
    <xdr:ext cx="546100" cy="279400"/>
    <xdr:sp macro="" textlink="">
      <xdr:nvSpPr>
        <xdr:cNvPr id="5131" name="Text Box 11">
          <a:extLst>
            <a:ext uri="{FF2B5EF4-FFF2-40B4-BE49-F238E27FC236}">
              <a16:creationId xmlns:a16="http://schemas.microsoft.com/office/drawing/2014/main" id="{6406FDBB-66D1-442C-AC09-D83961361A4D}"/>
            </a:ext>
          </a:extLst>
        </xdr:cNvPr>
        <xdr:cNvSpPr txBox="1">
          <a:spLocks noChangeArrowheads="1"/>
        </xdr:cNvSpPr>
      </xdr:nvSpPr>
      <xdr:spPr bwMode="auto">
        <a:xfrm>
          <a:off x="4933950" y="1358900"/>
          <a:ext cx="546100" cy="279400"/>
        </a:xfrm>
        <a:prstGeom prst="rect">
          <a:avLst/>
        </a:prstGeom>
        <a:solidFill>
          <a:srgbClr val="FFFFFF">
            <a:alpha val="50000"/>
          </a:srgbClr>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0" tIns="22860" rIns="27432" bIns="0" anchor="t" upright="1">
          <a:spAutoFit/>
        </a:bodyPr>
        <a:lstStyle/>
        <a:p>
          <a:pPr algn="r" rtl="0">
            <a:defRPr sz="1000"/>
          </a:pPr>
          <a:r>
            <a:rPr lang="en-US" sz="800" b="0" i="0" u="none" strike="noStrike" baseline="0">
              <a:solidFill>
                <a:srgbClr val="000000"/>
              </a:solidFill>
              <a:latin typeface="Arial"/>
              <a:cs typeface="Arial"/>
            </a:rPr>
            <a:t>+20%</a:t>
          </a:r>
        </a:p>
        <a:p>
          <a:pPr algn="r" rtl="0">
            <a:defRPr sz="1000"/>
          </a:pPr>
          <a:r>
            <a:rPr lang="en-US" sz="800" b="0" i="0" u="none" strike="noStrike" baseline="0">
              <a:solidFill>
                <a:srgbClr val="000000"/>
              </a:solidFill>
              <a:latin typeface="Arial"/>
              <a:cs typeface="Arial"/>
            </a:rPr>
            <a:t>advertising</a:t>
          </a:r>
        </a:p>
      </xdr:txBody>
    </xdr:sp>
    <xdr:clientData/>
  </xdr:oneCellAnchor>
  <xdr:oneCellAnchor>
    <xdr:from>
      <xdr:col>5</xdr:col>
      <xdr:colOff>438099</xdr:colOff>
      <xdr:row>5</xdr:row>
      <xdr:rowOff>50800</xdr:rowOff>
    </xdr:from>
    <xdr:ext cx="1047852" cy="141001"/>
    <xdr:sp macro="" textlink="">
      <xdr:nvSpPr>
        <xdr:cNvPr id="5132" name="Text Box 12">
          <a:extLst>
            <a:ext uri="{FF2B5EF4-FFF2-40B4-BE49-F238E27FC236}">
              <a16:creationId xmlns:a16="http://schemas.microsoft.com/office/drawing/2014/main" id="{A75CD863-FC41-4ABC-8B2D-D97F6EAC8493}"/>
            </a:ext>
          </a:extLst>
        </xdr:cNvPr>
        <xdr:cNvSpPr txBox="1">
          <a:spLocks noChangeArrowheads="1"/>
        </xdr:cNvSpPr>
      </xdr:nvSpPr>
      <xdr:spPr bwMode="auto">
        <a:xfrm>
          <a:off x="4419549" y="946150"/>
          <a:ext cx="1047852" cy="141001"/>
        </a:xfrm>
        <a:prstGeom prst="rect">
          <a:avLst/>
        </a:prstGeom>
        <a:solidFill>
          <a:srgbClr val="FFFFFF">
            <a:alpha val="50000"/>
          </a:srgbClr>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27432" tIns="22860" rIns="27432" bIns="0" anchor="t" upright="1">
          <a:spAutoFit/>
        </a:bodyPr>
        <a:lstStyle/>
        <a:p>
          <a:pPr algn="ctr" rtl="0">
            <a:defRPr sz="1000"/>
          </a:pPr>
          <a:r>
            <a:rPr lang="en-US" sz="800" b="0" i="0" u="none" strike="noStrike" baseline="0">
              <a:solidFill>
                <a:srgbClr val="000000"/>
              </a:solidFill>
              <a:latin typeface="Arial"/>
              <a:cs typeface="Arial"/>
            </a:rPr>
            <a:t>Saturation advertising</a:t>
          </a:r>
        </a:p>
      </xdr:txBody>
    </xdr:sp>
    <xdr:clientData/>
  </xdr:oneCellAnchor>
  <xdr:twoCellAnchor>
    <xdr:from>
      <xdr:col>3</xdr:col>
      <xdr:colOff>260350</xdr:colOff>
      <xdr:row>24</xdr:row>
      <xdr:rowOff>0</xdr:rowOff>
    </xdr:from>
    <xdr:to>
      <xdr:col>7</xdr:col>
      <xdr:colOff>368300</xdr:colOff>
      <xdr:row>37</xdr:row>
      <xdr:rowOff>0</xdr:rowOff>
    </xdr:to>
    <xdr:graphicFrame macro="">
      <xdr:nvGraphicFramePr>
        <xdr:cNvPr id="5133" name="Chart 13">
          <a:extLst>
            <a:ext uri="{FF2B5EF4-FFF2-40B4-BE49-F238E27FC236}">
              <a16:creationId xmlns:a16="http://schemas.microsoft.com/office/drawing/2014/main" id="{B5252420-38FE-4E21-8392-46033B45962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xml><?xml version="1.0" encoding="utf-8"?>
<xdr:wsDr xmlns:xdr="http://schemas.openxmlformats.org/drawingml/2006/spreadsheetDrawing" xmlns:a="http://schemas.openxmlformats.org/drawingml/2006/main">
  <xdr:absoluteAnchor>
    <xdr:pos x="0" y="0"/>
    <xdr:ext cx="8570182" cy="5830876"/>
    <xdr:graphicFrame macro="">
      <xdr:nvGraphicFramePr>
        <xdr:cNvPr id="2" name="Chart 1">
          <a:extLst>
            <a:ext uri="{FF2B5EF4-FFF2-40B4-BE49-F238E27FC236}">
              <a16:creationId xmlns:a16="http://schemas.microsoft.com/office/drawing/2014/main" id="{D1B9E7C0-8395-4C7A-BE16-0C116681A505}"/>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6.xml><?xml version="1.0" encoding="utf-8"?>
<xdr:wsDr xmlns:xdr="http://schemas.openxmlformats.org/drawingml/2006/spreadsheetDrawing" xmlns:a="http://schemas.openxmlformats.org/drawingml/2006/main">
  <xdr:absoluteAnchor>
    <xdr:pos x="0" y="0"/>
    <xdr:ext cx="8570182" cy="5830876"/>
    <xdr:graphicFrame macro="">
      <xdr:nvGraphicFramePr>
        <xdr:cNvPr id="2" name="Chart 1">
          <a:extLst>
            <a:ext uri="{FF2B5EF4-FFF2-40B4-BE49-F238E27FC236}">
              <a16:creationId xmlns:a16="http://schemas.microsoft.com/office/drawing/2014/main" id="{CA2955C0-2241-46CA-8C6D-527064860783}"/>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Program%20Files/MktgEng/excel/Adbudg.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wshDlgChart"/>
      <sheetName val="wshDia"/>
      <sheetName val="modMain"/>
      <sheetName val="wshData"/>
      <sheetName val="diaInstruction"/>
      <sheetName val="diaMain"/>
      <sheetName val="diaCalib"/>
      <sheetName val="diaFore"/>
      <sheetName val="diaMCOpt"/>
      <sheetName val="chtMS"/>
      <sheetName val="chtComb"/>
      <sheetName val="chtAd"/>
      <sheetName val="chtContr"/>
    </sheetNames>
    <sheetDataSet>
      <sheetData sheetId="0" refreshError="1"/>
      <sheetData sheetId="1">
        <row r="2">
          <cell r="J2">
            <v>1</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hyperlink" Target="https://support.microsoft.com/en-us/office/fill-data-automatically-in-worksheet-cells-74e31bdd-d993-45da-aa82-35a236c5b5db"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7"/>
  <sheetViews>
    <sheetView workbookViewId="0">
      <selection activeCell="A7" sqref="A7"/>
    </sheetView>
  </sheetViews>
  <sheetFormatPr defaultRowHeight="12.5"/>
  <cols>
    <col min="1" max="1" width="149" customWidth="1"/>
  </cols>
  <sheetData>
    <row r="1" spans="1:1" ht="282.5" customHeight="1">
      <c r="A1" s="177" t="s">
        <v>123</v>
      </c>
    </row>
    <row r="3" spans="1:1">
      <c r="A3" s="175"/>
    </row>
    <row r="5" spans="1:1">
      <c r="A5" s="176"/>
    </row>
    <row r="7" spans="1:1">
      <c r="A7" s="174"/>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R140"/>
  <sheetViews>
    <sheetView tabSelected="1" workbookViewId="0">
      <selection activeCell="I7" sqref="I7"/>
    </sheetView>
  </sheetViews>
  <sheetFormatPr defaultRowHeight="12.5"/>
  <cols>
    <col min="1" max="1" width="10.81640625" customWidth="1"/>
    <col min="2" max="2" width="12.54296875" style="164" customWidth="1"/>
    <col min="15" max="15" width="27.1796875" customWidth="1"/>
  </cols>
  <sheetData>
    <row r="1" spans="1:14" ht="46" customHeight="1">
      <c r="F1" s="169" t="s">
        <v>120</v>
      </c>
    </row>
    <row r="2" spans="1:14" ht="18">
      <c r="G2" s="172" t="s">
        <v>111</v>
      </c>
      <c r="H2" s="173">
        <v>0.5</v>
      </c>
      <c r="I2" s="178" t="s">
        <v>114</v>
      </c>
    </row>
    <row r="3" spans="1:14" ht="18">
      <c r="G3" s="172" t="s">
        <v>110</v>
      </c>
      <c r="H3" s="173">
        <v>0.05</v>
      </c>
      <c r="I3" s="178" t="s">
        <v>115</v>
      </c>
    </row>
    <row r="4" spans="1:14" ht="18">
      <c r="G4" s="172" t="s">
        <v>113</v>
      </c>
      <c r="H4" s="172">
        <v>3.5</v>
      </c>
      <c r="I4" s="178" t="s">
        <v>121</v>
      </c>
    </row>
    <row r="5" spans="1:14" ht="17.5">
      <c r="G5" s="172" t="s">
        <v>112</v>
      </c>
      <c r="H5" s="172">
        <v>100</v>
      </c>
      <c r="I5" s="172" t="s">
        <v>116</v>
      </c>
    </row>
    <row r="7" spans="1:14" ht="25.5" customHeight="1">
      <c r="J7" s="171" t="s">
        <v>119</v>
      </c>
      <c r="N7" s="162" t="s">
        <v>35</v>
      </c>
    </row>
    <row r="10" spans="1:14" ht="26.5">
      <c r="A10" s="163" t="s">
        <v>118</v>
      </c>
      <c r="B10" s="167" t="s">
        <v>117</v>
      </c>
      <c r="N10" s="170" t="s">
        <v>122</v>
      </c>
    </row>
    <row r="11" spans="1:14">
      <c r="A11" s="168" t="s">
        <v>108</v>
      </c>
      <c r="B11" s="165" t="s">
        <v>109</v>
      </c>
    </row>
    <row r="12" spans="1:14">
      <c r="A12">
        <v>0.4</v>
      </c>
      <c r="B12" s="166">
        <f t="shared" ref="B12:B43" si="0">B_LowerBound+(A_upperBound-B_LowerBound)*((A12^C_S_Shape)/($H$5+($H$5+A12^C_S_Shape)))</f>
        <v>5.0091055168342474E-2</v>
      </c>
    </row>
    <row r="13" spans="1:14">
      <c r="A13">
        <v>0.5</v>
      </c>
      <c r="B13" s="166">
        <f t="shared" si="0"/>
        <v>5.01987859304091E-2</v>
      </c>
    </row>
    <row r="14" spans="1:14">
      <c r="A14">
        <v>0.6</v>
      </c>
      <c r="B14" s="166">
        <f t="shared" si="0"/>
        <v>5.0376139316488704E-2</v>
      </c>
    </row>
    <row r="15" spans="1:14">
      <c r="A15">
        <v>0.7</v>
      </c>
      <c r="B15" s="166">
        <f t="shared" si="0"/>
        <v>5.0644767217086495E-2</v>
      </c>
    </row>
    <row r="16" spans="1:14">
      <c r="A16">
        <v>0.8</v>
      </c>
      <c r="B16" s="166">
        <f t="shared" si="0"/>
        <v>5.1028026217850006E-2</v>
      </c>
    </row>
    <row r="17" spans="1:18">
      <c r="A17">
        <v>0.9</v>
      </c>
      <c r="B17" s="166">
        <f t="shared" si="0"/>
        <v>5.1550715482062553E-2</v>
      </c>
    </row>
    <row r="18" spans="1:18">
      <c r="A18">
        <v>1</v>
      </c>
      <c r="B18" s="166">
        <f t="shared" si="0"/>
        <v>5.2238805970149259E-2</v>
      </c>
    </row>
    <row r="19" spans="1:18">
      <c r="A19">
        <v>1.1000000000000001</v>
      </c>
      <c r="B19" s="166">
        <f t="shared" si="0"/>
        <v>5.3119149189166624E-2</v>
      </c>
      <c r="R19" s="162"/>
    </row>
    <row r="20" spans="1:18">
      <c r="A20">
        <v>1.2</v>
      </c>
      <c r="B20" s="166">
        <f t="shared" si="0"/>
        <v>5.4219157773288312E-2</v>
      </c>
    </row>
    <row r="21" spans="1:18">
      <c r="A21">
        <v>1.3</v>
      </c>
      <c r="B21" s="166">
        <f t="shared" si="0"/>
        <v>5.5566453305220948E-2</v>
      </c>
    </row>
    <row r="22" spans="1:18">
      <c r="A22">
        <v>1.4</v>
      </c>
      <c r="B22" s="166">
        <f t="shared" si="0"/>
        <v>5.7188479531210951E-2</v>
      </c>
    </row>
    <row r="23" spans="1:18">
      <c r="A23">
        <v>1.5</v>
      </c>
      <c r="B23" s="166">
        <f t="shared" si="0"/>
        <v>5.9112081781750328E-2</v>
      </c>
    </row>
    <row r="24" spans="1:18">
      <c r="A24">
        <v>1.6</v>
      </c>
      <c r="B24" s="166">
        <f t="shared" si="0"/>
        <v>6.1363056096306628E-2</v>
      </c>
    </row>
    <row r="25" spans="1:18">
      <c r="A25">
        <v>1.7</v>
      </c>
      <c r="B25" s="166">
        <f t="shared" si="0"/>
        <v>6.3965674271037096E-2</v>
      </c>
    </row>
    <row r="26" spans="1:18">
      <c r="A26">
        <v>1.8</v>
      </c>
      <c r="B26" s="166">
        <f t="shared" si="0"/>
        <v>6.6942193740436154E-2</v>
      </c>
    </row>
    <row r="27" spans="1:18">
      <c r="A27">
        <v>1.9</v>
      </c>
      <c r="B27" s="166">
        <f t="shared" si="0"/>
        <v>7.0312363751280929E-2</v>
      </c>
    </row>
    <row r="28" spans="1:18">
      <c r="A28">
        <v>2</v>
      </c>
      <c r="B28" s="166">
        <f t="shared" si="0"/>
        <v>7.4092941535629731E-2</v>
      </c>
    </row>
    <row r="29" spans="1:18">
      <c r="A29">
        <v>2.1</v>
      </c>
      <c r="B29" s="166">
        <f t="shared" si="0"/>
        <v>7.8297233961403298E-2</v>
      </c>
    </row>
    <row r="30" spans="1:18">
      <c r="A30">
        <v>2.2000000000000002</v>
      </c>
      <c r="B30" s="166">
        <f t="shared" si="0"/>
        <v>8.2934681251689887E-2</v>
      </c>
    </row>
    <row r="31" spans="1:18">
      <c r="A31">
        <v>2.2999999999999998</v>
      </c>
      <c r="B31" s="166">
        <f t="shared" si="0"/>
        <v>8.801049965078428E-2</v>
      </c>
    </row>
    <row r="32" spans="1:18">
      <c r="A32">
        <v>2.4</v>
      </c>
      <c r="B32" s="166">
        <f t="shared" si="0"/>
        <v>9.3525399247845253E-2</v>
      </c>
    </row>
    <row r="33" spans="1:2">
      <c r="A33">
        <v>2.5</v>
      </c>
      <c r="B33" s="166">
        <f t="shared" si="0"/>
        <v>9.947539147939094E-2</v>
      </c>
    </row>
    <row r="34" spans="1:2">
      <c r="A34">
        <v>2.6</v>
      </c>
      <c r="B34" s="166">
        <f t="shared" si="0"/>
        <v>0.10585169812827683</v>
      </c>
    </row>
    <row r="35" spans="1:2">
      <c r="A35">
        <v>2.7</v>
      </c>
      <c r="B35" s="166">
        <f t="shared" si="0"/>
        <v>0.11264077001557786</v>
      </c>
    </row>
    <row r="36" spans="1:2">
      <c r="A36">
        <v>2.8</v>
      </c>
      <c r="B36" s="166">
        <f t="shared" si="0"/>
        <v>0.119824419227721</v>
      </c>
    </row>
    <row r="37" spans="1:2">
      <c r="A37">
        <v>2.9</v>
      </c>
      <c r="B37" s="166">
        <f t="shared" si="0"/>
        <v>0.12738006389759537</v>
      </c>
    </row>
    <row r="38" spans="1:2">
      <c r="A38">
        <v>3</v>
      </c>
      <c r="B38" s="166">
        <f t="shared" si="0"/>
        <v>0.13528107958618391</v>
      </c>
    </row>
    <row r="39" spans="1:2">
      <c r="A39">
        <v>3.1</v>
      </c>
      <c r="B39" s="166">
        <f t="shared" si="0"/>
        <v>0.14349724653961765</v>
      </c>
    </row>
    <row r="40" spans="1:2">
      <c r="A40">
        <v>3.2</v>
      </c>
      <c r="B40" s="166">
        <f t="shared" si="0"/>
        <v>0.1519952778678616</v>
      </c>
    </row>
    <row r="41" spans="1:2">
      <c r="A41">
        <v>3.3</v>
      </c>
      <c r="B41" s="166">
        <f t="shared" si="0"/>
        <v>0.16073941030597677</v>
      </c>
    </row>
    <row r="42" spans="1:2">
      <c r="A42">
        <v>3.4</v>
      </c>
      <c r="B42" s="166">
        <f t="shared" si="0"/>
        <v>0.16969203690473816</v>
      </c>
    </row>
    <row r="43" spans="1:2">
      <c r="A43">
        <v>3.5</v>
      </c>
      <c r="B43" s="166">
        <f t="shared" si="0"/>
        <v>0.17881435988715649</v>
      </c>
    </row>
    <row r="44" spans="1:2">
      <c r="A44">
        <v>3.6</v>
      </c>
      <c r="B44" s="166">
        <f t="shared" ref="B44:B75" si="1">B_LowerBound+(A_upperBound-B_LowerBound)*((A44^C_S_Shape)/($H$5+($H$5+A44^C_S_Shape)))</f>
        <v>0.18806704202878383</v>
      </c>
    </row>
    <row r="45" spans="1:2">
      <c r="A45">
        <v>3.7</v>
      </c>
      <c r="B45" s="166">
        <f t="shared" si="1"/>
        <v>0.19741083619733402</v>
      </c>
    </row>
    <row r="46" spans="1:2">
      <c r="A46">
        <v>3.8</v>
      </c>
      <c r="B46" s="166">
        <f t="shared" si="1"/>
        <v>0.20680717495705309</v>
      </c>
    </row>
    <row r="47" spans="1:2">
      <c r="A47">
        <v>3.9</v>
      </c>
      <c r="B47" s="166">
        <f t="shared" si="1"/>
        <v>0.21621870517552655</v>
      </c>
    </row>
    <row r="48" spans="1:2">
      <c r="A48">
        <v>4</v>
      </c>
      <c r="B48" s="166">
        <f t="shared" si="1"/>
        <v>0.22560975609756095</v>
      </c>
    </row>
    <row r="49" spans="1:2">
      <c r="A49">
        <v>4.0999999999999996</v>
      </c>
      <c r="B49" s="166">
        <f t="shared" si="1"/>
        <v>0.23494673309619946</v>
      </c>
    </row>
    <row r="50" spans="1:2">
      <c r="A50">
        <v>4.2</v>
      </c>
      <c r="B50" s="166">
        <f t="shared" si="1"/>
        <v>0.24419843301617522</v>
      </c>
    </row>
    <row r="51" spans="1:2">
      <c r="A51">
        <v>4.3</v>
      </c>
      <c r="B51" s="166">
        <f t="shared" si="1"/>
        <v>0.25333628046985368</v>
      </c>
    </row>
    <row r="52" spans="1:2">
      <c r="A52">
        <v>4.4000000000000004</v>
      </c>
      <c r="B52" s="166">
        <f t="shared" si="1"/>
        <v>0.26233448746128857</v>
      </c>
    </row>
    <row r="53" spans="1:2">
      <c r="A53">
        <v>4.5</v>
      </c>
      <c r="B53" s="166">
        <f t="shared" si="1"/>
        <v>0.27117014118929827</v>
      </c>
    </row>
    <row r="54" spans="1:2">
      <c r="A54">
        <v>4.5999999999999996</v>
      </c>
      <c r="B54" s="166">
        <f t="shared" si="1"/>
        <v>0.27982322676098764</v>
      </c>
    </row>
    <row r="55" spans="1:2">
      <c r="A55">
        <v>4.7</v>
      </c>
      <c r="B55" s="166">
        <f t="shared" si="1"/>
        <v>0.2882765928287977</v>
      </c>
    </row>
    <row r="56" spans="1:2">
      <c r="A56">
        <v>4.8</v>
      </c>
      <c r="B56" s="166">
        <f t="shared" si="1"/>
        <v>0.29651586888361309</v>
      </c>
    </row>
    <row r="57" spans="1:2">
      <c r="A57">
        <v>4.9000000000000004</v>
      </c>
      <c r="B57" s="166">
        <f t="shared" si="1"/>
        <v>0.30452934315968705</v>
      </c>
    </row>
    <row r="58" spans="1:2">
      <c r="A58">
        <v>5</v>
      </c>
      <c r="B58" s="166">
        <f t="shared" si="1"/>
        <v>0.31230780991809481</v>
      </c>
    </row>
    <row r="59" spans="1:2">
      <c r="A59">
        <v>5.0999999999999996</v>
      </c>
      <c r="B59" s="166">
        <f t="shared" si="1"/>
        <v>0.31984439436576312</v>
      </c>
    </row>
    <row r="60" spans="1:2">
      <c r="A60">
        <v>5.2</v>
      </c>
      <c r="B60" s="166">
        <f t="shared" si="1"/>
        <v>0.32713436272768387</v>
      </c>
    </row>
    <row r="61" spans="1:2">
      <c r="A61">
        <v>5.3</v>
      </c>
      <c r="B61" s="166">
        <f t="shared" si="1"/>
        <v>0.3341749241046485</v>
      </c>
    </row>
    <row r="62" spans="1:2">
      <c r="A62">
        <v>5.4</v>
      </c>
      <c r="B62" s="166">
        <f t="shared" si="1"/>
        <v>0.34096502979056753</v>
      </c>
    </row>
    <row r="63" spans="1:2">
      <c r="A63">
        <v>5.5</v>
      </c>
      <c r="B63" s="166">
        <f t="shared" si="1"/>
        <v>0.34750517475194043</v>
      </c>
    </row>
    <row r="64" spans="1:2">
      <c r="A64">
        <v>5.6</v>
      </c>
      <c r="B64" s="166">
        <f t="shared" si="1"/>
        <v>0.35379720503337497</v>
      </c>
    </row>
    <row r="65" spans="1:2">
      <c r="A65">
        <v>5.7</v>
      </c>
      <c r="B65" s="166">
        <f t="shared" si="1"/>
        <v>0.35984413398032022</v>
      </c>
    </row>
    <row r="66" spans="1:2">
      <c r="A66">
        <v>5.8</v>
      </c>
      <c r="B66" s="166">
        <f t="shared" si="1"/>
        <v>0.36564996938484984</v>
      </c>
    </row>
    <row r="67" spans="1:2">
      <c r="A67">
        <v>5.9</v>
      </c>
      <c r="B67" s="166">
        <f t="shared" si="1"/>
        <v>0.37121955297412901</v>
      </c>
    </row>
    <row r="68" spans="1:2">
      <c r="A68">
        <v>6</v>
      </c>
      <c r="B68" s="166">
        <f t="shared" si="1"/>
        <v>0.37655841307805005</v>
      </c>
    </row>
    <row r="69" spans="1:2">
      <c r="A69">
        <v>6.1</v>
      </c>
      <c r="B69" s="166">
        <f t="shared" si="1"/>
        <v>0.38167263083047204</v>
      </c>
    </row>
    <row r="70" spans="1:2">
      <c r="A70">
        <v>6.2</v>
      </c>
      <c r="B70" s="166">
        <f t="shared" si="1"/>
        <v>0.38656871987146618</v>
      </c>
    </row>
    <row r="71" spans="1:2">
      <c r="A71">
        <v>6.3</v>
      </c>
      <c r="B71" s="166">
        <f t="shared" si="1"/>
        <v>0.39125351921720203</v>
      </c>
    </row>
    <row r="72" spans="1:2">
      <c r="A72">
        <v>6.4</v>
      </c>
      <c r="B72" s="166">
        <f t="shared" si="1"/>
        <v>0.39573409873942172</v>
      </c>
    </row>
    <row r="73" spans="1:2">
      <c r="A73">
        <v>6.5</v>
      </c>
      <c r="B73" s="166">
        <f t="shared" si="1"/>
        <v>0.40001767653709341</v>
      </c>
    </row>
    <row r="74" spans="1:2">
      <c r="A74">
        <v>6.6</v>
      </c>
      <c r="B74" s="166">
        <f t="shared" si="1"/>
        <v>0.40411154737826516</v>
      </c>
    </row>
    <row r="75" spans="1:2">
      <c r="A75">
        <v>6.7</v>
      </c>
      <c r="B75" s="166">
        <f t="shared" si="1"/>
        <v>0.40802302133036061</v>
      </c>
    </row>
    <row r="76" spans="1:2">
      <c r="A76">
        <v>6.8</v>
      </c>
      <c r="B76" s="166">
        <f t="shared" ref="B76:B107" si="2">B_LowerBound+(A_upperBound-B_LowerBound)*((A76^C_S_Shape)/($H$5+($H$5+A76^C_S_Shape)))</f>
        <v>0.41175937167313764</v>
      </c>
    </row>
    <row r="77" spans="1:2">
      <c r="A77">
        <v>6.9</v>
      </c>
      <c r="B77" s="166">
        <f t="shared" si="2"/>
        <v>0.4153277911922505</v>
      </c>
    </row>
    <row r="78" spans="1:2">
      <c r="A78">
        <v>7</v>
      </c>
      <c r="B78" s="166">
        <f t="shared" si="2"/>
        <v>0.41873535597591466</v>
      </c>
    </row>
    <row r="79" spans="1:2">
      <c r="A79">
        <v>7.1</v>
      </c>
      <c r="B79" s="166">
        <f t="shared" si="2"/>
        <v>0.42198899587677746</v>
      </c>
    </row>
    <row r="80" spans="1:2">
      <c r="A80">
        <v>7.2</v>
      </c>
      <c r="B80" s="166">
        <f t="shared" si="2"/>
        <v>0.42509547085092941</v>
      </c>
    </row>
    <row r="81" spans="1:2">
      <c r="A81">
        <v>7.3</v>
      </c>
      <c r="B81" s="166">
        <f t="shared" si="2"/>
        <v>0.42806135244219762</v>
      </c>
    </row>
    <row r="82" spans="1:2">
      <c r="A82">
        <v>7.4</v>
      </c>
      <c r="B82" s="166">
        <f t="shared" si="2"/>
        <v>0.43089300973937661</v>
      </c>
    </row>
    <row r="83" spans="1:2">
      <c r="A83">
        <v>7.5</v>
      </c>
      <c r="B83" s="166">
        <f t="shared" si="2"/>
        <v>0.43359659919451521</v>
      </c>
    </row>
    <row r="84" spans="1:2">
      <c r="A84">
        <v>7.6</v>
      </c>
      <c r="B84" s="166">
        <f t="shared" si="2"/>
        <v>0.43617805775002388</v>
      </c>
    </row>
    <row r="85" spans="1:2">
      <c r="A85">
        <v>7.7</v>
      </c>
      <c r="B85" s="166">
        <f t="shared" si="2"/>
        <v>0.43864309877990704</v>
      </c>
    </row>
    <row r="86" spans="1:2">
      <c r="A86">
        <v>7.8</v>
      </c>
      <c r="B86" s="166">
        <f t="shared" si="2"/>
        <v>0.44099721040498507</v>
      </c>
    </row>
    <row r="87" spans="1:2">
      <c r="A87">
        <v>7.9</v>
      </c>
      <c r="B87" s="166">
        <f t="shared" si="2"/>
        <v>0.44324565579296688</v>
      </c>
    </row>
    <row r="88" spans="1:2">
      <c r="A88">
        <v>8</v>
      </c>
      <c r="B88" s="166">
        <f t="shared" si="2"/>
        <v>0.44539347510135152</v>
      </c>
    </row>
    <row r="89" spans="1:2">
      <c r="A89">
        <v>8.1</v>
      </c>
      <c r="B89" s="166">
        <f t="shared" si="2"/>
        <v>0.44744548876424373</v>
      </c>
    </row>
    <row r="90" spans="1:2">
      <c r="A90">
        <v>8.1999999999999993</v>
      </c>
      <c r="B90" s="166">
        <f t="shared" si="2"/>
        <v>0.44940630186325847</v>
      </c>
    </row>
    <row r="91" spans="1:2">
      <c r="A91">
        <v>8.3000000000000007</v>
      </c>
      <c r="B91" s="166">
        <f t="shared" si="2"/>
        <v>0.45128030935789137</v>
      </c>
    </row>
    <row r="92" spans="1:2">
      <c r="A92">
        <v>8.4</v>
      </c>
      <c r="B92" s="166">
        <f t="shared" si="2"/>
        <v>0.45307170198219993</v>
      </c>
    </row>
    <row r="93" spans="1:2">
      <c r="A93">
        <v>8.5</v>
      </c>
      <c r="B93" s="166">
        <f t="shared" si="2"/>
        <v>0.45478447264262678</v>
      </c>
    </row>
    <row r="94" spans="1:2">
      <c r="A94">
        <v>8.6</v>
      </c>
      <c r="B94" s="166">
        <f t="shared" si="2"/>
        <v>0.45642242317653331</v>
      </c>
    </row>
    <row r="95" spans="1:2">
      <c r="A95">
        <v>8.6999999999999993</v>
      </c>
      <c r="B95" s="166">
        <f t="shared" si="2"/>
        <v>0.45798917135277806</v>
      </c>
    </row>
    <row r="96" spans="1:2">
      <c r="A96">
        <v>8.8000000000000007</v>
      </c>
      <c r="B96" s="166">
        <f t="shared" si="2"/>
        <v>0.45948815801473031</v>
      </c>
    </row>
    <row r="97" spans="1:2">
      <c r="A97">
        <v>8.9</v>
      </c>
      <c r="B97" s="166">
        <f t="shared" si="2"/>
        <v>0.46092265428272461</v>
      </c>
    </row>
    <row r="98" spans="1:2">
      <c r="A98">
        <v>9</v>
      </c>
      <c r="B98" s="166">
        <f t="shared" si="2"/>
        <v>0.46229576874738165</v>
      </c>
    </row>
    <row r="99" spans="1:2">
      <c r="A99">
        <v>9.1</v>
      </c>
      <c r="B99" s="166">
        <f t="shared" si="2"/>
        <v>0.46361045459768463</v>
      </c>
    </row>
    <row r="100" spans="1:2">
      <c r="A100">
        <v>9.1999999999999993</v>
      </c>
      <c r="B100" s="166">
        <f t="shared" si="2"/>
        <v>0.46486951663843157</v>
      </c>
    </row>
    <row r="101" spans="1:2">
      <c r="A101">
        <v>9.3000000000000007</v>
      </c>
      <c r="B101" s="166">
        <f t="shared" si="2"/>
        <v>0.46607561816088078</v>
      </c>
    </row>
    <row r="102" spans="1:2">
      <c r="A102">
        <v>9.4</v>
      </c>
      <c r="B102" s="166">
        <f t="shared" si="2"/>
        <v>0.46723128763825578</v>
      </c>
    </row>
    <row r="103" spans="1:2">
      <c r="A103">
        <v>9.5</v>
      </c>
      <c r="B103" s="166">
        <f t="shared" si="2"/>
        <v>0.46833892522444653</v>
      </c>
    </row>
    <row r="104" spans="1:2">
      <c r="A104">
        <v>9.6</v>
      </c>
      <c r="B104" s="166">
        <f t="shared" si="2"/>
        <v>0.46940080903988335</v>
      </c>
    </row>
    <row r="105" spans="1:2">
      <c r="A105">
        <v>9.6999999999999993</v>
      </c>
      <c r="B105" s="166">
        <f t="shared" si="2"/>
        <v>0.47041910123330555</v>
      </c>
    </row>
    <row r="106" spans="1:2">
      <c r="A106">
        <v>9.8000000000000007</v>
      </c>
      <c r="B106" s="166">
        <f t="shared" si="2"/>
        <v>0.47139585381211274</v>
      </c>
    </row>
    <row r="107" spans="1:2">
      <c r="A107">
        <v>9.9</v>
      </c>
      <c r="B107" s="166">
        <f t="shared" si="2"/>
        <v>0.47233301423728963</v>
      </c>
    </row>
    <row r="108" spans="1:2">
      <c r="A108">
        <v>10</v>
      </c>
      <c r="B108" s="166">
        <f t="shared" ref="B108:B139" si="3">B_LowerBound+(A_upperBound-B_LowerBound)*((A108^C_S_Shape)/($H$5+($H$5+A108^C_S_Shape)))</f>
        <v>0.47323243078161104</v>
      </c>
    </row>
    <row r="109" spans="1:2">
      <c r="A109">
        <v>10.1</v>
      </c>
      <c r="B109" s="166">
        <f t="shared" si="3"/>
        <v>0.47409585765206574</v>
      </c>
    </row>
    <row r="110" spans="1:2">
      <c r="A110">
        <v>10.199999999999999</v>
      </c>
      <c r="B110" s="166">
        <f t="shared" si="3"/>
        <v>0.47492495987923566</v>
      </c>
    </row>
    <row r="111" spans="1:2">
      <c r="A111">
        <v>10.3</v>
      </c>
      <c r="B111" s="166">
        <f t="shared" si="3"/>
        <v>0.47572131797781192</v>
      </c>
    </row>
    <row r="112" spans="1:2">
      <c r="A112">
        <v>10.4</v>
      </c>
      <c r="B112" s="166">
        <f t="shared" si="3"/>
        <v>0.47648643238356214</v>
      </c>
    </row>
    <row r="113" spans="1:2">
      <c r="A113">
        <v>10.5</v>
      </c>
      <c r="B113" s="166">
        <f t="shared" si="3"/>
        <v>0.47722172767294158</v>
      </c>
    </row>
    <row r="114" spans="1:2">
      <c r="A114">
        <v>10.6</v>
      </c>
      <c r="B114" s="166">
        <f t="shared" si="3"/>
        <v>0.47792855657219541</v>
      </c>
    </row>
    <row r="115" spans="1:2">
      <c r="A115">
        <v>10.7</v>
      </c>
      <c r="B115" s="166">
        <f t="shared" si="3"/>
        <v>0.47860820376327423</v>
      </c>
    </row>
    <row r="116" spans="1:2">
      <c r="A116">
        <v>10.8</v>
      </c>
      <c r="B116" s="166">
        <f t="shared" si="3"/>
        <v>0.47926188949420656</v>
      </c>
    </row>
    <row r="117" spans="1:2">
      <c r="A117">
        <v>10.9</v>
      </c>
      <c r="B117" s="166">
        <f t="shared" si="3"/>
        <v>0.47989077300176503</v>
      </c>
    </row>
    <row r="118" spans="1:2">
      <c r="A118">
        <v>11</v>
      </c>
      <c r="B118" s="166">
        <f t="shared" si="3"/>
        <v>0.4804959557543525</v>
      </c>
    </row>
    <row r="119" spans="1:2">
      <c r="A119">
        <v>11.1</v>
      </c>
      <c r="B119" s="166">
        <f t="shared" si="3"/>
        <v>0.48107848452303753</v>
      </c>
    </row>
    <row r="120" spans="1:2">
      <c r="A120">
        <v>11.2</v>
      </c>
      <c r="B120" s="166">
        <f t="shared" si="3"/>
        <v>0.48163935428860533</v>
      </c>
    </row>
    <row r="121" spans="1:2">
      <c r="A121">
        <v>11.3</v>
      </c>
      <c r="B121" s="166">
        <f t="shared" si="3"/>
        <v>0.48217951099236528</v>
      </c>
    </row>
    <row r="122" spans="1:2">
      <c r="A122">
        <v>11.4</v>
      </c>
      <c r="B122" s="166">
        <f t="shared" si="3"/>
        <v>0.4826998541382948</v>
      </c>
    </row>
    <row r="123" spans="1:2">
      <c r="A123">
        <v>11.5</v>
      </c>
      <c r="B123" s="166">
        <f t="shared" si="3"/>
        <v>0.48320123925389785</v>
      </c>
    </row>
    <row r="124" spans="1:2">
      <c r="A124">
        <v>11.6</v>
      </c>
      <c r="B124" s="166">
        <f t="shared" si="3"/>
        <v>0.48368448021693267</v>
      </c>
    </row>
    <row r="125" spans="1:2">
      <c r="A125">
        <v>11.7</v>
      </c>
      <c r="B125" s="166">
        <f t="shared" si="3"/>
        <v>0.48415035145491858</v>
      </c>
    </row>
    <row r="126" spans="1:2">
      <c r="A126">
        <v>11.8</v>
      </c>
      <c r="B126" s="166">
        <f t="shared" si="3"/>
        <v>0.48459959002407677</v>
      </c>
    </row>
    <row r="127" spans="1:2">
      <c r="A127">
        <v>11.9</v>
      </c>
      <c r="B127" s="166">
        <f t="shared" si="3"/>
        <v>0.4850328975740914</v>
      </c>
    </row>
    <row r="128" spans="1:2">
      <c r="A128">
        <v>12</v>
      </c>
      <c r="B128" s="166">
        <f t="shared" si="3"/>
        <v>0.48545094220481338</v>
      </c>
    </row>
    <row r="129" spans="1:2">
      <c r="A129">
        <v>12.1</v>
      </c>
      <c r="B129" s="166">
        <f t="shared" si="3"/>
        <v>0.48585436022075174</v>
      </c>
    </row>
    <row r="130" spans="1:2">
      <c r="A130">
        <v>12.2</v>
      </c>
      <c r="B130" s="166">
        <f t="shared" si="3"/>
        <v>0.48624375778893569</v>
      </c>
    </row>
    <row r="131" spans="1:2">
      <c r="A131">
        <v>12.3</v>
      </c>
      <c r="B131" s="166">
        <f t="shared" si="3"/>
        <v>0.48661971250545849</v>
      </c>
    </row>
    <row r="132" spans="1:2">
      <c r="A132">
        <v>12.4</v>
      </c>
      <c r="B132" s="166">
        <f t="shared" si="3"/>
        <v>0.48698277487575903</v>
      </c>
    </row>
    <row r="133" spans="1:2">
      <c r="A133">
        <v>12.5</v>
      </c>
      <c r="B133" s="166">
        <f t="shared" si="3"/>
        <v>0.48733346971344016</v>
      </c>
    </row>
    <row r="134" spans="1:2">
      <c r="A134">
        <v>12.6</v>
      </c>
      <c r="B134" s="166">
        <f t="shared" si="3"/>
        <v>0.48767229746217827</v>
      </c>
    </row>
    <row r="135" spans="1:2">
      <c r="A135">
        <v>12.7</v>
      </c>
      <c r="B135" s="166">
        <f t="shared" si="3"/>
        <v>0.48799973544504022</v>
      </c>
    </row>
    <row r="136" spans="1:2">
      <c r="A136">
        <v>12.8</v>
      </c>
      <c r="B136" s="166">
        <f t="shared" si="3"/>
        <v>0.4883162390452942</v>
      </c>
    </row>
    <row r="137" spans="1:2">
      <c r="A137">
        <v>12.9</v>
      </c>
      <c r="B137" s="166">
        <f t="shared" si="3"/>
        <v>0.48862224282258215</v>
      </c>
    </row>
    <row r="138" spans="1:2">
      <c r="A138">
        <v>13</v>
      </c>
      <c r="B138" s="166">
        <f t="shared" si="3"/>
        <v>0.48891816156810891</v>
      </c>
    </row>
    <row r="139" spans="1:2">
      <c r="A139">
        <v>13.1</v>
      </c>
      <c r="B139" s="166">
        <f t="shared" si="3"/>
        <v>0.48920439130230409</v>
      </c>
    </row>
    <row r="140" spans="1:2">
      <c r="A140">
        <v>13.2</v>
      </c>
      <c r="B140" s="166">
        <f t="shared" ref="B140" si="4">B_LowerBound+(A_upperBound-B_LowerBound)*((A140^C_S_Shape)/($H$5+($H$5+A140^C_S_Shape)))</f>
        <v>0.48948131021821795</v>
      </c>
    </row>
  </sheetData>
  <hyperlinks>
    <hyperlink ref="N10" r:id="rId1" location=":~:text=Use%20a%20Series%20of%20Cells%20as%20a%20Basis,and%20choose%20the%20option%20you%20want.%20See%20More." display="https://support.microsoft.com/en-us/office/fill-data-automatically-in-worksheet-cells-74e31bdd-d993-45da-aa82-35a236c5b5db - :~:text=Use%20a%20Series%20of%20Cells%20as%20a%20Basis,and%20choose%20the%20option%20you%20want.%20See%20More." xr:uid="{00000000-0004-0000-0100-000000000000}"/>
  </hyperlinks>
  <pageMargins left="0.7" right="0.7" top="0.75" bottom="0.75" header="0.3" footer="0.3"/>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dimension ref="B2:D17"/>
  <sheetViews>
    <sheetView workbookViewId="0">
      <selection activeCell="B12" sqref="B12:D12"/>
    </sheetView>
  </sheetViews>
  <sheetFormatPr defaultColWidth="9.1796875" defaultRowHeight="12.5"/>
  <cols>
    <col min="1" max="1" width="2.453125" style="84" customWidth="1"/>
    <col min="2" max="2" width="10.81640625" style="84" customWidth="1"/>
    <col min="3" max="3" width="2.81640625" style="84" customWidth="1"/>
    <col min="4" max="4" width="95.1796875" style="84" customWidth="1"/>
    <col min="5" max="16384" width="9.1796875" style="84"/>
  </cols>
  <sheetData>
    <row r="2" spans="2:4" ht="26.25" customHeight="1">
      <c r="B2" s="185" t="s">
        <v>102</v>
      </c>
      <c r="C2" s="186"/>
      <c r="D2" s="186"/>
    </row>
    <row r="3" spans="2:4" ht="18.75" customHeight="1">
      <c r="B3" s="187" t="s">
        <v>103</v>
      </c>
      <c r="C3" s="188"/>
      <c r="D3" s="188"/>
    </row>
    <row r="6" spans="2:4" ht="17.5">
      <c r="B6" s="85" t="s">
        <v>40</v>
      </c>
    </row>
    <row r="7" spans="2:4" ht="37.5" customHeight="1">
      <c r="B7" s="179" t="s">
        <v>104</v>
      </c>
      <c r="C7" s="180"/>
      <c r="D7" s="181"/>
    </row>
    <row r="8" spans="2:4" ht="22.5" customHeight="1">
      <c r="B8" s="182" t="s">
        <v>105</v>
      </c>
      <c r="C8" s="183"/>
      <c r="D8" s="184"/>
    </row>
    <row r="9" spans="2:4">
      <c r="B9" s="87"/>
      <c r="C9" s="87"/>
    </row>
    <row r="10" spans="2:4">
      <c r="B10" s="87"/>
      <c r="C10" s="87"/>
    </row>
    <row r="11" spans="2:4" ht="17.5">
      <c r="B11" s="88" t="s">
        <v>39</v>
      </c>
      <c r="C11" s="87"/>
    </row>
    <row r="12" spans="2:4" s="86" customFormat="1" ht="37.5" customHeight="1">
      <c r="B12" s="179" t="s">
        <v>106</v>
      </c>
      <c r="C12" s="180"/>
      <c r="D12" s="181"/>
    </row>
    <row r="13" spans="2:4" s="86" customFormat="1" ht="37.5" customHeight="1">
      <c r="B13" s="182" t="s">
        <v>107</v>
      </c>
      <c r="C13" s="183"/>
      <c r="D13" s="184"/>
    </row>
    <row r="14" spans="2:4" ht="13" thickBot="1"/>
    <row r="15" spans="2:4" ht="13.5" thickBot="1">
      <c r="B15" s="99"/>
      <c r="D15" s="100" t="s">
        <v>44</v>
      </c>
    </row>
    <row r="16" spans="2:4" ht="13" thickBot="1"/>
    <row r="17" spans="2:4" ht="13.5" thickBot="1">
      <c r="B17" s="101"/>
      <c r="D17" s="100" t="s">
        <v>45</v>
      </c>
    </row>
  </sheetData>
  <sheetProtection selectLockedCells="1" selectUnlockedCells="1"/>
  <mergeCells count="6">
    <mergeCell ref="B12:D12"/>
    <mergeCell ref="B13:D13"/>
    <mergeCell ref="B2:D2"/>
    <mergeCell ref="B3:D3"/>
    <mergeCell ref="B7:D7"/>
    <mergeCell ref="B8:D8"/>
  </mergeCells>
  <phoneticPr fontId="5" type="noConversion"/>
  <pageMargins left="0.75" right="0.75" top="1" bottom="1" header="0.5" footer="0.5"/>
  <pageSetup paperSize="9" orientation="portrait" horizontalDpi="0" verticalDpi="0"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2"/>
  <dimension ref="B1:K37"/>
  <sheetViews>
    <sheetView topLeftCell="A9" workbookViewId="0">
      <selection activeCell="C27" sqref="C27"/>
    </sheetView>
  </sheetViews>
  <sheetFormatPr defaultColWidth="9.1796875" defaultRowHeight="12.5"/>
  <cols>
    <col min="1" max="1" width="2.81640625" style="90" customWidth="1"/>
    <col min="2" max="3" width="14.26953125" style="90" customWidth="1"/>
    <col min="4" max="4" width="12.81640625" style="93" customWidth="1"/>
    <col min="5" max="13" width="12.81640625" style="90" customWidth="1"/>
    <col min="14" max="16384" width="9.1796875" style="90"/>
  </cols>
  <sheetData>
    <row r="1" spans="2:11" ht="13">
      <c r="B1" s="92"/>
      <c r="C1" s="92"/>
      <c r="E1" s="91"/>
    </row>
    <row r="2" spans="2:11" ht="17.5">
      <c r="B2" s="89" t="s">
        <v>46</v>
      </c>
      <c r="C2" s="89"/>
      <c r="E2" s="91"/>
    </row>
    <row r="3" spans="2:11" ht="12.75" customHeight="1">
      <c r="B3" s="117" t="s">
        <v>64</v>
      </c>
      <c r="C3" s="89"/>
      <c r="E3" s="91"/>
    </row>
    <row r="4" spans="2:11" ht="12.75" customHeight="1">
      <c r="B4" s="117" t="s">
        <v>65</v>
      </c>
      <c r="C4" s="89"/>
      <c r="E4" s="91"/>
    </row>
    <row r="5" spans="2:11" ht="15" customHeight="1" thickBot="1">
      <c r="B5" s="117"/>
      <c r="C5" s="89"/>
      <c r="E5" s="91"/>
    </row>
    <row r="6" spans="2:11" ht="15" customHeight="1" thickBot="1">
      <c r="D6" s="108" t="s">
        <v>58</v>
      </c>
      <c r="E6" s="98"/>
      <c r="H6" s="106">
        <v>6.3E-2</v>
      </c>
      <c r="I6" s="189" t="s">
        <v>53</v>
      </c>
      <c r="J6" s="190"/>
      <c r="K6" s="191"/>
    </row>
    <row r="7" spans="2:11" ht="15" customHeight="1">
      <c r="E7" s="98"/>
      <c r="H7" s="118"/>
      <c r="I7" s="118"/>
      <c r="J7" s="118"/>
      <c r="K7" s="118"/>
    </row>
    <row r="8" spans="2:11" ht="15" customHeight="1" thickBot="1">
      <c r="E8" s="98"/>
      <c r="H8" s="118"/>
      <c r="I8" s="118"/>
      <c r="J8" s="118"/>
      <c r="K8" s="118"/>
    </row>
    <row r="9" spans="2:11" ht="15" customHeight="1" thickBot="1">
      <c r="E9" s="98"/>
      <c r="H9" s="106">
        <v>5.7000000000000002E-2</v>
      </c>
      <c r="I9" s="189" t="s">
        <v>54</v>
      </c>
      <c r="J9" s="190"/>
      <c r="K9" s="191"/>
    </row>
    <row r="10" spans="2:11" ht="15" customHeight="1">
      <c r="E10" s="98"/>
      <c r="H10" s="118"/>
      <c r="I10" s="118"/>
      <c r="J10" s="118"/>
      <c r="K10" s="118"/>
    </row>
    <row r="11" spans="2:11" ht="15" customHeight="1" thickBot="1">
      <c r="H11" s="118"/>
      <c r="I11" s="118"/>
      <c r="J11" s="118"/>
      <c r="K11" s="118"/>
    </row>
    <row r="12" spans="2:11" ht="15" customHeight="1" thickBot="1">
      <c r="B12" s="192" t="s">
        <v>48</v>
      </c>
      <c r="C12" s="193"/>
      <c r="D12" s="106">
        <v>5.3999999999999999E-2</v>
      </c>
      <c r="E12" s="98"/>
      <c r="H12" s="103">
        <f>D12</f>
        <v>5.3999999999999999E-2</v>
      </c>
      <c r="I12" s="190" t="s">
        <v>48</v>
      </c>
      <c r="J12" s="190"/>
      <c r="K12" s="191"/>
    </row>
    <row r="13" spans="2:11" ht="15" customHeight="1">
      <c r="E13" s="98"/>
      <c r="H13" s="118"/>
      <c r="I13" s="118"/>
      <c r="J13" s="118"/>
      <c r="K13" s="118"/>
    </row>
    <row r="14" spans="2:11" ht="15" customHeight="1" thickBot="1">
      <c r="B14" s="94" t="s">
        <v>63</v>
      </c>
      <c r="C14" s="107"/>
      <c r="D14" s="116">
        <f>1000000000*((D12-C31)^2+(H9-C32)^2)</f>
        <v>2.3557147788761546E-6</v>
      </c>
      <c r="H14" s="118"/>
      <c r="I14" s="118"/>
      <c r="J14" s="118"/>
      <c r="K14" s="118"/>
    </row>
    <row r="15" spans="2:11" ht="15" customHeight="1" thickBot="1">
      <c r="B15" s="94" t="s">
        <v>66</v>
      </c>
      <c r="C15" s="107"/>
      <c r="D15" s="109">
        <v>4.1800997752168314</v>
      </c>
      <c r="H15" s="106">
        <v>4.7E-2</v>
      </c>
      <c r="I15" s="189" t="s">
        <v>52</v>
      </c>
      <c r="J15" s="190"/>
      <c r="K15" s="191"/>
    </row>
    <row r="16" spans="2:11" ht="15" customHeight="1">
      <c r="B16" s="94" t="s">
        <v>67</v>
      </c>
      <c r="C16" s="107"/>
      <c r="D16" s="109">
        <v>23.306430868821639</v>
      </c>
      <c r="H16" s="118"/>
      <c r="I16" s="118"/>
      <c r="J16" s="118"/>
      <c r="K16" s="118"/>
    </row>
    <row r="17" spans="2:11" ht="15" customHeight="1" thickBot="1">
      <c r="B17" s="94" t="s">
        <v>47</v>
      </c>
      <c r="C17" s="107"/>
      <c r="D17" s="110">
        <f>(H15-H18)/(H12-H18)</f>
        <v>0.87037037037037035</v>
      </c>
      <c r="H17" s="118"/>
      <c r="I17" s="118"/>
      <c r="J17" s="118"/>
      <c r="K17" s="118"/>
    </row>
    <row r="18" spans="2:11" ht="15" customHeight="1" thickBot="1">
      <c r="B18" s="94" t="s">
        <v>49</v>
      </c>
      <c r="C18" s="107"/>
      <c r="D18" s="147">
        <v>2</v>
      </c>
      <c r="H18" s="106">
        <v>0</v>
      </c>
      <c r="I18" s="189" t="s">
        <v>50</v>
      </c>
      <c r="J18" s="190"/>
      <c r="K18" s="191"/>
    </row>
    <row r="19" spans="2:11" ht="13">
      <c r="F19" s="104" t="s">
        <v>55</v>
      </c>
    </row>
    <row r="20" spans="2:11">
      <c r="F20" s="105" t="s">
        <v>56</v>
      </c>
    </row>
    <row r="22" spans="2:11" ht="17.5">
      <c r="B22" s="89" t="s">
        <v>57</v>
      </c>
      <c r="C22" s="89"/>
    </row>
    <row r="23" spans="2:11" ht="12.75" customHeight="1">
      <c r="B23" s="117" t="s">
        <v>68</v>
      </c>
      <c r="C23" s="89"/>
      <c r="E23" s="91"/>
    </row>
    <row r="24" spans="2:11" ht="12.75" customHeight="1">
      <c r="B24" s="117"/>
      <c r="C24" s="89"/>
      <c r="E24" s="91"/>
    </row>
    <row r="25" spans="2:11" ht="30" customHeight="1">
      <c r="B25" s="95" t="s">
        <v>59</v>
      </c>
      <c r="C25" s="97" t="s">
        <v>60</v>
      </c>
    </row>
    <row r="26" spans="2:11" ht="15" customHeight="1">
      <c r="B26" s="111" t="s">
        <v>62</v>
      </c>
      <c r="C26" s="114">
        <f>H15</f>
        <v>4.7E-2</v>
      </c>
    </row>
    <row r="27" spans="2:11" ht="15" customHeight="1">
      <c r="B27" s="161">
        <f>D18*0.2</f>
        <v>0.4</v>
      </c>
      <c r="C27" s="112">
        <f>$H$15 + (($H$6-$H$15) * ((B27)^$D$15) / ($D$16+((B27)^$D$15)))</f>
        <v>4.7014887130496348E-2</v>
      </c>
    </row>
    <row r="28" spans="2:11" ht="15" customHeight="1">
      <c r="B28" s="161">
        <f>D18*0.4</f>
        <v>0.8</v>
      </c>
      <c r="C28" s="112">
        <f t="shared" ref="C28:C36" si="0">$H$15 + (($H$6-$H$15) * ((B28)^$D$15) / ($D$16+((B28)^$D$15)))</f>
        <v>4.7265631769353979E-2</v>
      </c>
    </row>
    <row r="29" spans="2:11">
      <c r="B29" s="161">
        <f>D18*0.6</f>
        <v>1.2</v>
      </c>
      <c r="C29" s="112">
        <f t="shared" si="0"/>
        <v>4.8347195129227534E-2</v>
      </c>
    </row>
    <row r="30" spans="2:11">
      <c r="B30" s="161">
        <f>D18*0.8</f>
        <v>1.6</v>
      </c>
      <c r="C30" s="112">
        <f t="shared" si="0"/>
        <v>5.0749146883153448E-2</v>
      </c>
    </row>
    <row r="31" spans="2:11" ht="13">
      <c r="B31" s="161">
        <f>D18</f>
        <v>2</v>
      </c>
      <c r="C31" s="114">
        <f t="shared" si="0"/>
        <v>5.4000037313694182E-2</v>
      </c>
    </row>
    <row r="32" spans="2:11" ht="13">
      <c r="B32" s="161">
        <f>D18*1.2</f>
        <v>2.4</v>
      </c>
      <c r="C32" s="114">
        <f t="shared" si="0"/>
        <v>5.6999968961266051E-2</v>
      </c>
    </row>
    <row r="33" spans="2:3">
      <c r="B33" s="161">
        <f>D18*1.4</f>
        <v>2.8</v>
      </c>
      <c r="C33" s="112">
        <f t="shared" si="0"/>
        <v>5.9167300172468927E-2</v>
      </c>
    </row>
    <row r="34" spans="2:3">
      <c r="B34" s="161">
        <f>D18*1.6</f>
        <v>3.2</v>
      </c>
      <c r="C34" s="112">
        <f t="shared" si="0"/>
        <v>6.0556339366490228E-2</v>
      </c>
    </row>
    <row r="35" spans="2:3">
      <c r="B35" s="161">
        <f>D18*1.8</f>
        <v>3.6</v>
      </c>
      <c r="C35" s="112">
        <f t="shared" si="0"/>
        <v>6.1412166094964943E-2</v>
      </c>
    </row>
    <row r="36" spans="2:3">
      <c r="B36" s="161">
        <f>D18*2</f>
        <v>4</v>
      </c>
      <c r="C36" s="112">
        <f t="shared" si="0"/>
        <v>6.1940342559454555E-2</v>
      </c>
    </row>
    <row r="37" spans="2:3" ht="13">
      <c r="B37" s="113" t="s">
        <v>61</v>
      </c>
      <c r="C37" s="115">
        <f>H6</f>
        <v>6.3E-2</v>
      </c>
    </row>
  </sheetData>
  <sheetProtection selectLockedCells="1"/>
  <mergeCells count="6">
    <mergeCell ref="I18:K18"/>
    <mergeCell ref="B12:C12"/>
    <mergeCell ref="I6:K6"/>
    <mergeCell ref="I9:K9"/>
    <mergeCell ref="I12:K12"/>
    <mergeCell ref="I15:K15"/>
  </mergeCells>
  <phoneticPr fontId="5" type="noConversion"/>
  <pageMargins left="0.75" right="0.75" top="1" bottom="1" header="0.5" footer="0.5"/>
  <pageSetup paperSize="9" orientation="portrait" horizontalDpi="0" verticalDpi="0"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2:N37"/>
  <sheetViews>
    <sheetView workbookViewId="0"/>
  </sheetViews>
  <sheetFormatPr defaultColWidth="9.1796875" defaultRowHeight="12.5"/>
  <cols>
    <col min="1" max="1" width="2.81640625" style="8" customWidth="1"/>
    <col min="2" max="14" width="12.81640625" style="8" customWidth="1"/>
    <col min="15" max="16384" width="9.1796875" style="8"/>
  </cols>
  <sheetData>
    <row r="2" spans="2:14" ht="18" thickBot="1">
      <c r="B2" s="89" t="s">
        <v>69</v>
      </c>
    </row>
    <row r="3" spans="2:14" ht="15" customHeight="1">
      <c r="B3" s="192" t="s">
        <v>43</v>
      </c>
      <c r="C3" s="190"/>
      <c r="D3" s="142">
        <v>1</v>
      </c>
    </row>
    <row r="4" spans="2:14" ht="15" customHeight="1">
      <c r="B4" s="192" t="s">
        <v>41</v>
      </c>
      <c r="C4" s="190"/>
      <c r="D4" s="143">
        <v>1</v>
      </c>
    </row>
    <row r="5" spans="2:14" ht="15" customHeight="1">
      <c r="B5" s="192" t="s">
        <v>51</v>
      </c>
      <c r="C5" s="190"/>
      <c r="D5" s="144">
        <v>5.3999999999999999E-2</v>
      </c>
    </row>
    <row r="6" spans="2:14" ht="15" customHeight="1">
      <c r="B6" s="192" t="s">
        <v>71</v>
      </c>
      <c r="C6" s="190"/>
      <c r="D6" s="145">
        <v>17.2</v>
      </c>
    </row>
    <row r="7" spans="2:14" ht="15" customHeight="1">
      <c r="B7" s="192" t="s">
        <v>72</v>
      </c>
      <c r="C7" s="190"/>
      <c r="D7" s="145">
        <v>4.5</v>
      </c>
    </row>
    <row r="8" spans="2:14" ht="15" customHeight="1">
      <c r="B8" s="192" t="s">
        <v>70</v>
      </c>
      <c r="C8" s="190"/>
      <c r="D8" s="145">
        <v>17.2</v>
      </c>
    </row>
    <row r="9" spans="2:14" ht="15" customHeight="1">
      <c r="B9" s="192" t="s">
        <v>73</v>
      </c>
      <c r="C9" s="190"/>
      <c r="D9" s="148">
        <v>22</v>
      </c>
    </row>
    <row r="10" spans="2:14" ht="15" customHeight="1" thickBot="1">
      <c r="B10" s="192" t="s">
        <v>74</v>
      </c>
      <c r="C10" s="190"/>
      <c r="D10" s="146">
        <v>0.01</v>
      </c>
    </row>
    <row r="13" spans="2:14" ht="17.5">
      <c r="B13" s="89" t="s">
        <v>90</v>
      </c>
    </row>
    <row r="14" spans="2:14" ht="15" customHeight="1">
      <c r="B14" s="196" t="s">
        <v>78</v>
      </c>
      <c r="C14" s="198" t="s">
        <v>42</v>
      </c>
      <c r="D14" s="198" t="s">
        <v>89</v>
      </c>
      <c r="E14" s="198" t="s">
        <v>43</v>
      </c>
      <c r="F14" s="198" t="s">
        <v>41</v>
      </c>
      <c r="G14" s="198" t="s">
        <v>58</v>
      </c>
      <c r="H14" s="194" t="s">
        <v>85</v>
      </c>
      <c r="I14" s="194"/>
      <c r="J14" s="194" t="s">
        <v>86</v>
      </c>
      <c r="K14" s="194"/>
      <c r="L14" s="194" t="s">
        <v>75</v>
      </c>
      <c r="M14" s="194"/>
      <c r="N14" s="195"/>
    </row>
    <row r="15" spans="2:14" ht="15" customHeight="1">
      <c r="B15" s="197"/>
      <c r="C15" s="199"/>
      <c r="D15" s="199"/>
      <c r="E15" s="199"/>
      <c r="F15" s="199"/>
      <c r="G15" s="199"/>
      <c r="H15" s="123" t="s">
        <v>76</v>
      </c>
      <c r="I15" s="123" t="s">
        <v>77</v>
      </c>
      <c r="J15" s="123" t="s">
        <v>76</v>
      </c>
      <c r="K15" s="123" t="s">
        <v>77</v>
      </c>
      <c r="L15" s="124" t="s">
        <v>88</v>
      </c>
      <c r="M15" s="124" t="s">
        <v>87</v>
      </c>
      <c r="N15" s="125" t="s">
        <v>84</v>
      </c>
    </row>
    <row r="16" spans="2:14" ht="15" customHeight="1" thickBot="1">
      <c r="B16" s="119" t="s">
        <v>79</v>
      </c>
      <c r="C16" s="131"/>
      <c r="D16" s="126"/>
      <c r="E16" s="126"/>
      <c r="F16" s="126"/>
      <c r="G16" s="120">
        <f>D5</f>
        <v>5.3999999999999999E-2</v>
      </c>
      <c r="H16" s="126"/>
      <c r="I16" s="126"/>
      <c r="J16" s="126"/>
      <c r="K16" s="126"/>
      <c r="L16" s="127"/>
      <c r="M16" s="127"/>
      <c r="N16" s="128"/>
    </row>
    <row r="17" spans="2:14" ht="15" customHeight="1">
      <c r="B17" s="129" t="s">
        <v>80</v>
      </c>
      <c r="C17" s="149">
        <v>2</v>
      </c>
      <c r="D17" s="130"/>
      <c r="E17" s="121">
        <f>$D$3</f>
        <v>1</v>
      </c>
      <c r="F17" s="121">
        <f t="shared" ref="F17:F28" si="0">$D$4</f>
        <v>1</v>
      </c>
      <c r="G17" s="120">
        <f>Calibration!$H$18+Calibration!$D$17*(G16-Calibration!$H$18)+(Calibration!$H$6-Calibration!$H$15)*((MAX(0,C17)*E17*F17)^Calibration!$D$15/(Calibration!$D$16+(MAX(0,C17)*E17*F17)^Calibration!$D$15))</f>
        <v>5.4000037313694182E-2</v>
      </c>
      <c r="H17" s="122">
        <f>G17*J17</f>
        <v>1.188000820901272</v>
      </c>
      <c r="I17" s="153">
        <f>H17*$D$6</f>
        <v>20.433614119501879</v>
      </c>
      <c r="J17" s="122">
        <f>D9</f>
        <v>22</v>
      </c>
      <c r="K17" s="153">
        <f>J17*$D$8</f>
        <v>378.4</v>
      </c>
      <c r="L17" s="153">
        <f>H17*$D$7</f>
        <v>5.3460036940557245</v>
      </c>
      <c r="M17" s="153">
        <f>L17-$C17</f>
        <v>3.3460036940557245</v>
      </c>
      <c r="N17" s="154">
        <f>M17</f>
        <v>3.3460036940557245</v>
      </c>
    </row>
    <row r="18" spans="2:14" ht="15" customHeight="1">
      <c r="B18" s="129" t="s">
        <v>81</v>
      </c>
      <c r="C18" s="150">
        <v>2</v>
      </c>
      <c r="D18" s="130"/>
      <c r="E18" s="121">
        <f t="shared" ref="E18:E28" si="1">$D$3</f>
        <v>1</v>
      </c>
      <c r="F18" s="121">
        <f t="shared" si="0"/>
        <v>1</v>
      </c>
      <c r="G18" s="120">
        <f>Calibration!$H$18+Calibration!$D$17*(G17-Calibration!$H$18)+(Calibration!$H$6-Calibration!$H$15)*((MAX(0,C18)*E18*F18)^Calibration!$D$15/(Calibration!$D$16+(MAX(0,C18)*E18*F18)^Calibration!$D$15))</f>
        <v>5.4000069790428006E-2</v>
      </c>
      <c r="H18" s="122">
        <f t="shared" ref="H18:H28" si="2">G18*J18</f>
        <v>1.1998815507433103</v>
      </c>
      <c r="I18" s="153">
        <f t="shared" ref="I18:I28" si="3">H18*$D$6</f>
        <v>20.637962672784937</v>
      </c>
      <c r="J18" s="122">
        <f>J17*(1+$D$10)</f>
        <v>22.22</v>
      </c>
      <c r="K18" s="153">
        <f t="shared" ref="K18:K28" si="4">J18*$D$8</f>
        <v>382.18399999999997</v>
      </c>
      <c r="L18" s="153">
        <f t="shared" ref="L18:L28" si="5">H18*$D$7</f>
        <v>5.3994669783448961</v>
      </c>
      <c r="M18" s="153">
        <f t="shared" ref="M18:M28" si="6">L18-$C18</f>
        <v>3.3994669783448961</v>
      </c>
      <c r="N18" s="154">
        <f t="shared" ref="N18:N28" si="7">M18+N17</f>
        <v>6.7454706724006206</v>
      </c>
    </row>
    <row r="19" spans="2:14" ht="15" customHeight="1">
      <c r="B19" s="129" t="s">
        <v>82</v>
      </c>
      <c r="C19" s="150">
        <v>2</v>
      </c>
      <c r="D19" s="130"/>
      <c r="E19" s="121">
        <f t="shared" si="1"/>
        <v>1</v>
      </c>
      <c r="F19" s="121">
        <f t="shared" si="0"/>
        <v>1</v>
      </c>
      <c r="G19" s="120">
        <f>Calibration!$H$18+Calibration!$D$17*(G18-Calibration!$H$18)+(Calibration!$H$6-Calibration!$H$15)*((MAX(0,C19)*E19*F19)^Calibration!$D$15/(Calibration!$D$16+(MAX(0,C19)*E19*F19)^Calibration!$D$15))</f>
        <v>5.4000098057214854E-2</v>
      </c>
      <c r="H19" s="122">
        <f t="shared" si="2"/>
        <v>1.2118810006196272</v>
      </c>
      <c r="I19" s="153">
        <f t="shared" si="3"/>
        <v>20.844353210657587</v>
      </c>
      <c r="J19" s="122">
        <f t="shared" ref="J19:J28" si="8">J18*(1+$D$10)</f>
        <v>22.4422</v>
      </c>
      <c r="K19" s="153">
        <f t="shared" si="4"/>
        <v>386.00583999999998</v>
      </c>
      <c r="L19" s="153">
        <f t="shared" si="5"/>
        <v>5.4534645027883224</v>
      </c>
      <c r="M19" s="153">
        <f t="shared" si="6"/>
        <v>3.4534645027883224</v>
      </c>
      <c r="N19" s="155">
        <f t="shared" si="7"/>
        <v>10.198935175188943</v>
      </c>
    </row>
    <row r="20" spans="2:14" ht="15" customHeight="1">
      <c r="B20" s="129" t="s">
        <v>83</v>
      </c>
      <c r="C20" s="150">
        <v>2</v>
      </c>
      <c r="D20" s="152">
        <f>SUM(C17:C20)</f>
        <v>8</v>
      </c>
      <c r="E20" s="121">
        <f t="shared" si="1"/>
        <v>1</v>
      </c>
      <c r="F20" s="121">
        <f t="shared" si="0"/>
        <v>1</v>
      </c>
      <c r="G20" s="132">
        <f>Calibration!$H$18+Calibration!$D$17*(G19-Calibration!$H$18)+(Calibration!$H$6-Calibration!$H$15)*((MAX(0,C20)*E20*F20)^Calibration!$D$15/(Calibration!$D$16+(MAX(0,C20)*E20*F20)^Calibration!$D$15))</f>
        <v>5.4000122659788589E-2</v>
      </c>
      <c r="H20" s="122">
        <f t="shared" si="2"/>
        <v>1.2240003682830625</v>
      </c>
      <c r="I20" s="153">
        <f t="shared" si="3"/>
        <v>21.052806334468674</v>
      </c>
      <c r="J20" s="122">
        <f t="shared" si="8"/>
        <v>22.666622</v>
      </c>
      <c r="K20" s="153">
        <f t="shared" si="4"/>
        <v>389.86589839999999</v>
      </c>
      <c r="L20" s="153">
        <f t="shared" si="5"/>
        <v>5.5080016572737813</v>
      </c>
      <c r="M20" s="156">
        <f t="shared" si="6"/>
        <v>3.5080016572737813</v>
      </c>
      <c r="N20" s="157">
        <f t="shared" si="7"/>
        <v>13.706936832462723</v>
      </c>
    </row>
    <row r="21" spans="2:14" ht="15" customHeight="1">
      <c r="B21" s="129" t="s">
        <v>80</v>
      </c>
      <c r="C21" s="150">
        <v>2</v>
      </c>
      <c r="D21" s="130"/>
      <c r="E21" s="121">
        <f t="shared" si="1"/>
        <v>1</v>
      </c>
      <c r="F21" s="121">
        <f t="shared" si="0"/>
        <v>1</v>
      </c>
      <c r="G21" s="120">
        <f>Calibration!$H$18+Calibration!$D$17*(G20-Calibration!$H$18)+(Calibration!$H$6-Calibration!$H$15)*((MAX(0,C21)*E21*F21)^Calibration!$D$15/(Calibration!$D$16+(MAX(0,C21)*E21*F21)^Calibration!$D$15))</f>
        <v>5.4000144073139807E-2</v>
      </c>
      <c r="H21" s="122">
        <f t="shared" si="2"/>
        <v>1.2362408621879142</v>
      </c>
      <c r="I21" s="153">
        <f t="shared" si="3"/>
        <v>21.263342829632123</v>
      </c>
      <c r="J21" s="122">
        <f t="shared" si="8"/>
        <v>22.893288219999999</v>
      </c>
      <c r="K21" s="153">
        <f t="shared" si="4"/>
        <v>393.76455738399994</v>
      </c>
      <c r="L21" s="153">
        <f t="shared" si="5"/>
        <v>5.5630838798456139</v>
      </c>
      <c r="M21" s="153">
        <f t="shared" si="6"/>
        <v>3.5630838798456139</v>
      </c>
      <c r="N21" s="155">
        <f t="shared" si="7"/>
        <v>17.270020712308337</v>
      </c>
    </row>
    <row r="22" spans="2:14" ht="15" customHeight="1">
      <c r="B22" s="129" t="s">
        <v>81</v>
      </c>
      <c r="C22" s="150">
        <v>2</v>
      </c>
      <c r="D22" s="130"/>
      <c r="E22" s="121">
        <f t="shared" si="1"/>
        <v>1</v>
      </c>
      <c r="F22" s="121">
        <f t="shared" si="0"/>
        <v>1</v>
      </c>
      <c r="G22" s="120">
        <f>Calibration!$H$18+Calibration!$D$17*(G21-Calibration!$H$18)+(Calibration!$H$6-Calibration!$H$15)*((MAX(0,C22)*E22*F22)^Calibration!$D$15/(Calibration!$D$16+(MAX(0,C22)*E22*F22)^Calibration!$D$15))</f>
        <v>5.4000162710686236E-2</v>
      </c>
      <c r="H22" s="122">
        <f t="shared" si="2"/>
        <v>1.2486037017512628</v>
      </c>
      <c r="I22" s="153">
        <f t="shared" si="3"/>
        <v>21.475983670121717</v>
      </c>
      <c r="J22" s="122">
        <f t="shared" si="8"/>
        <v>23.122221102199997</v>
      </c>
      <c r="K22" s="153">
        <f t="shared" si="4"/>
        <v>397.70220295783992</v>
      </c>
      <c r="L22" s="153">
        <f t="shared" si="5"/>
        <v>5.6187166578806824</v>
      </c>
      <c r="M22" s="153">
        <f t="shared" si="6"/>
        <v>3.6187166578806824</v>
      </c>
      <c r="N22" s="155">
        <f t="shared" si="7"/>
        <v>20.88873737018902</v>
      </c>
    </row>
    <row r="23" spans="2:14" ht="15" customHeight="1">
      <c r="B23" s="129" t="s">
        <v>82</v>
      </c>
      <c r="C23" s="150">
        <v>2</v>
      </c>
      <c r="D23" s="130"/>
      <c r="E23" s="121">
        <f t="shared" si="1"/>
        <v>1</v>
      </c>
      <c r="F23" s="121">
        <f t="shared" si="0"/>
        <v>1</v>
      </c>
      <c r="G23" s="120">
        <f>Calibration!$H$18+Calibration!$D$17*(G22-Calibration!$H$18)+(Calibration!$H$6-Calibration!$H$15)*((MAX(0,C23)*E23*F23)^Calibration!$D$15/(Calibration!$D$16+(MAX(0,C23)*E23*F23)^Calibration!$D$15))</f>
        <v>5.4000178932254422E-2</v>
      </c>
      <c r="H23" s="122">
        <f t="shared" si="2"/>
        <v>1.2610901175982485</v>
      </c>
      <c r="I23" s="153">
        <f t="shared" si="3"/>
        <v>21.690750022689873</v>
      </c>
      <c r="J23" s="122">
        <f t="shared" si="8"/>
        <v>23.353443313221998</v>
      </c>
      <c r="K23" s="153">
        <f t="shared" si="4"/>
        <v>401.67922498741837</v>
      </c>
      <c r="L23" s="153">
        <f t="shared" si="5"/>
        <v>5.6749055291921184</v>
      </c>
      <c r="M23" s="153">
        <f t="shared" si="6"/>
        <v>3.6749055291921184</v>
      </c>
      <c r="N23" s="155">
        <f t="shared" si="7"/>
        <v>24.563642899381136</v>
      </c>
    </row>
    <row r="24" spans="2:14" ht="15" customHeight="1">
      <c r="B24" s="129" t="s">
        <v>83</v>
      </c>
      <c r="C24" s="150">
        <v>2</v>
      </c>
      <c r="D24" s="152">
        <f>SUM(C21:C24)</f>
        <v>8</v>
      </c>
      <c r="E24" s="121">
        <f t="shared" si="1"/>
        <v>1</v>
      </c>
      <c r="F24" s="121">
        <f t="shared" si="0"/>
        <v>1</v>
      </c>
      <c r="G24" s="120">
        <f>Calibration!$H$18+Calibration!$D$17*(G23-Calibration!$H$18)+(Calibration!$H$6-Calibration!$H$15)*((MAX(0,C24)*E24*F24)^Calibration!$D$15/(Calibration!$D$16+(MAX(0,C24)*E24*F24)^Calibration!$D$15))</f>
        <v>5.4000193051026733E-2</v>
      </c>
      <c r="H24" s="122">
        <f t="shared" si="2"/>
        <v>1.2737013517933993</v>
      </c>
      <c r="I24" s="153">
        <f t="shared" si="3"/>
        <v>21.907663250846465</v>
      </c>
      <c r="J24" s="122">
        <f t="shared" si="8"/>
        <v>23.586977746354219</v>
      </c>
      <c r="K24" s="153">
        <f t="shared" si="4"/>
        <v>405.69601723729255</v>
      </c>
      <c r="L24" s="153">
        <f t="shared" si="5"/>
        <v>5.7316560830702965</v>
      </c>
      <c r="M24" s="153">
        <f t="shared" si="6"/>
        <v>3.7316560830702965</v>
      </c>
      <c r="N24" s="155">
        <f t="shared" si="7"/>
        <v>28.295298982451435</v>
      </c>
    </row>
    <row r="25" spans="2:14" ht="15" customHeight="1">
      <c r="B25" s="129" t="s">
        <v>80</v>
      </c>
      <c r="C25" s="150">
        <v>2</v>
      </c>
      <c r="D25" s="130"/>
      <c r="E25" s="121">
        <f t="shared" si="1"/>
        <v>1</v>
      </c>
      <c r="F25" s="121">
        <f t="shared" si="0"/>
        <v>1</v>
      </c>
      <c r="G25" s="120">
        <f>Calibration!$H$18+Calibration!$D$17*(G24-Calibration!$H$18)+(Calibration!$H$6-Calibration!$H$15)*((MAX(0,C25)*E25*F25)^Calibration!$D$15/(Calibration!$D$16+(MAX(0,C25)*E25*F25)^Calibration!$D$15))</f>
        <v>5.4000205339587819E-2</v>
      </c>
      <c r="H25" s="122">
        <f t="shared" si="2"/>
        <v>1.2864386580598504</v>
      </c>
      <c r="I25" s="153">
        <f t="shared" si="3"/>
        <v>22.126744918629424</v>
      </c>
      <c r="J25" s="122">
        <f t="shared" si="8"/>
        <v>23.82284752381776</v>
      </c>
      <c r="K25" s="153">
        <f t="shared" si="4"/>
        <v>409.75297740966545</v>
      </c>
      <c r="L25" s="153">
        <f t="shared" si="5"/>
        <v>5.7889739612693267</v>
      </c>
      <c r="M25" s="153">
        <f t="shared" si="6"/>
        <v>3.7889739612693267</v>
      </c>
      <c r="N25" s="155">
        <f t="shared" si="7"/>
        <v>32.084272943720762</v>
      </c>
    </row>
    <row r="26" spans="2:14" ht="15" customHeight="1">
      <c r="B26" s="129" t="s">
        <v>81</v>
      </c>
      <c r="C26" s="150">
        <v>2</v>
      </c>
      <c r="D26" s="130"/>
      <c r="E26" s="121">
        <f t="shared" si="1"/>
        <v>1</v>
      </c>
      <c r="F26" s="121">
        <f t="shared" si="0"/>
        <v>1</v>
      </c>
      <c r="G26" s="120">
        <f>Calibration!$H$18+Calibration!$D$17*(G25-Calibration!$H$18)+(Calibration!$H$6-Calibration!$H$15)*((MAX(0,C26)*E26*F26)^Calibration!$D$15/(Calibration!$D$16+(MAX(0,C26)*E26*F26)^Calibration!$D$15))</f>
        <v>5.400021603518728E-2</v>
      </c>
      <c r="H26" s="122">
        <f t="shared" si="2"/>
        <v>1.2993033019880802</v>
      </c>
      <c r="I26" s="153">
        <f t="shared" si="3"/>
        <v>22.348016794194979</v>
      </c>
      <c r="J26" s="122">
        <f t="shared" si="8"/>
        <v>24.061075999055937</v>
      </c>
      <c r="K26" s="153">
        <f t="shared" si="4"/>
        <v>413.85050718376209</v>
      </c>
      <c r="L26" s="153">
        <f t="shared" si="5"/>
        <v>5.8468648589463612</v>
      </c>
      <c r="M26" s="153">
        <f t="shared" si="6"/>
        <v>3.8468648589463612</v>
      </c>
      <c r="N26" s="155">
        <f t="shared" si="7"/>
        <v>35.931137802667124</v>
      </c>
    </row>
    <row r="27" spans="2:14" ht="15" customHeight="1">
      <c r="B27" s="129" t="s">
        <v>82</v>
      </c>
      <c r="C27" s="150">
        <v>2</v>
      </c>
      <c r="D27" s="130"/>
      <c r="E27" s="121">
        <f t="shared" si="1"/>
        <v>1</v>
      </c>
      <c r="F27" s="121">
        <f t="shared" si="0"/>
        <v>1</v>
      </c>
      <c r="G27" s="120">
        <f>Calibration!$H$18+Calibration!$D$17*(G26-Calibration!$H$18)+(Calibration!$H$6-Calibration!$H$15)*((MAX(0,C27)*E27*F27)^Calibration!$D$15/(Calibration!$D$16+(MAX(0,C27)*E27*F27)^Calibration!$D$15))</f>
        <v>5.4000225344320148E-2</v>
      </c>
      <c r="H27" s="122">
        <f t="shared" si="2"/>
        <v>1.3122965612355919</v>
      </c>
      <c r="I27" s="153">
        <f t="shared" si="3"/>
        <v>22.571500853252179</v>
      </c>
      <c r="J27" s="122">
        <f t="shared" si="8"/>
        <v>24.301686759046497</v>
      </c>
      <c r="K27" s="153">
        <f t="shared" si="4"/>
        <v>417.98901225559973</v>
      </c>
      <c r="L27" s="153">
        <f t="shared" si="5"/>
        <v>5.9053345255601633</v>
      </c>
      <c r="M27" s="153">
        <f t="shared" si="6"/>
        <v>3.9053345255601633</v>
      </c>
      <c r="N27" s="155">
        <f t="shared" si="7"/>
        <v>39.836472328227288</v>
      </c>
    </row>
    <row r="28" spans="2:14" ht="15" customHeight="1" thickBot="1">
      <c r="B28" s="129" t="s">
        <v>83</v>
      </c>
      <c r="C28" s="151">
        <v>2</v>
      </c>
      <c r="D28" s="152">
        <f>SUM(C25:C28)</f>
        <v>8</v>
      </c>
      <c r="E28" s="121">
        <f t="shared" si="1"/>
        <v>1</v>
      </c>
      <c r="F28" s="121">
        <f t="shared" si="0"/>
        <v>1</v>
      </c>
      <c r="G28" s="132">
        <f>Calibration!$H$18+Calibration!$D$17*(G27-Calibration!$H$18)+(Calibration!$H$6-Calibration!$H$15)*((MAX(0,C28)*E28*F28)^Calibration!$D$15/(Calibration!$D$16+(MAX(0,C28)*E28*F28)^Calibration!$D$15))</f>
        <v>5.4000233446713571E-2</v>
      </c>
      <c r="H28" s="122">
        <f t="shared" si="2"/>
        <v>1.3254197257187932</v>
      </c>
      <c r="I28" s="153">
        <f t="shared" si="3"/>
        <v>22.79721928236324</v>
      </c>
      <c r="J28" s="122">
        <f t="shared" si="8"/>
        <v>24.544703626636963</v>
      </c>
      <c r="K28" s="153">
        <f t="shared" si="4"/>
        <v>422.16890237815574</v>
      </c>
      <c r="L28" s="153">
        <f t="shared" si="5"/>
        <v>5.9643887657345696</v>
      </c>
      <c r="M28" s="153">
        <f t="shared" si="6"/>
        <v>3.9643887657345696</v>
      </c>
      <c r="N28" s="158">
        <f t="shared" si="7"/>
        <v>43.800861093961856</v>
      </c>
    </row>
    <row r="31" spans="2:14" ht="17.5">
      <c r="B31" s="89" t="s">
        <v>91</v>
      </c>
    </row>
    <row r="32" spans="2:14" s="90" customFormat="1" ht="12.75" customHeight="1">
      <c r="B32" s="117" t="s">
        <v>101</v>
      </c>
      <c r="C32" s="89"/>
      <c r="D32" s="93"/>
      <c r="E32" s="91"/>
    </row>
    <row r="33" spans="2:8" ht="30" customHeight="1" thickBot="1">
      <c r="B33" s="89"/>
      <c r="D33" s="102" t="s">
        <v>98</v>
      </c>
      <c r="E33" s="136" t="s">
        <v>96</v>
      </c>
      <c r="F33" s="96" t="s">
        <v>97</v>
      </c>
      <c r="G33" s="96" t="s">
        <v>99</v>
      </c>
      <c r="H33" s="97" t="s">
        <v>100</v>
      </c>
    </row>
    <row r="34" spans="2:8" ht="15" customHeight="1">
      <c r="B34" s="192" t="s">
        <v>92</v>
      </c>
      <c r="C34" s="190"/>
      <c r="D34" s="159">
        <v>13.71</v>
      </c>
      <c r="E34" s="137">
        <v>1</v>
      </c>
      <c r="F34" s="135">
        <f>E34/SUM(E$34:E$37)</f>
        <v>0.25</v>
      </c>
      <c r="G34" s="121">
        <f>N20/D34</f>
        <v>0.99977657421318178</v>
      </c>
      <c r="H34" s="134">
        <f>SUMPRODUCT(F34:F37,G34:G37)</f>
        <v>0.99994905847316906</v>
      </c>
    </row>
    <row r="35" spans="2:8" ht="15" customHeight="1">
      <c r="B35" s="192" t="s">
        <v>93</v>
      </c>
      <c r="C35" s="190"/>
      <c r="D35" s="160">
        <v>43.8</v>
      </c>
      <c r="E35" s="138">
        <v>1</v>
      </c>
      <c r="F35" s="135">
        <f>E35/SUM(E$34:E$37)</f>
        <v>0.25</v>
      </c>
      <c r="G35" s="121">
        <f>N28/D35</f>
        <v>1.0000196596794946</v>
      </c>
      <c r="H35" s="133"/>
    </row>
    <row r="36" spans="2:8" ht="15" customHeight="1">
      <c r="B36" s="192" t="s">
        <v>94</v>
      </c>
      <c r="C36" s="190"/>
      <c r="D36" s="140">
        <v>5.4000122659788589E-2</v>
      </c>
      <c r="E36" s="138">
        <v>1</v>
      </c>
      <c r="F36" s="135">
        <f>E36/SUM(E$34:E$37)</f>
        <v>0.25</v>
      </c>
      <c r="G36" s="121">
        <f>G20/D36</f>
        <v>1</v>
      </c>
      <c r="H36" s="133"/>
    </row>
    <row r="37" spans="2:8" ht="15" customHeight="1" thickBot="1">
      <c r="B37" s="192" t="s">
        <v>95</v>
      </c>
      <c r="C37" s="190"/>
      <c r="D37" s="141">
        <v>5.4000233446713571E-2</v>
      </c>
      <c r="E37" s="139">
        <v>1</v>
      </c>
      <c r="F37" s="135">
        <f>E37/SUM(E$34:E$37)</f>
        <v>0.25</v>
      </c>
      <c r="G37" s="121">
        <f>G28/D37</f>
        <v>1</v>
      </c>
      <c r="H37" s="133"/>
    </row>
  </sheetData>
  <mergeCells count="21">
    <mergeCell ref="B34:C34"/>
    <mergeCell ref="B35:C35"/>
    <mergeCell ref="B36:C36"/>
    <mergeCell ref="B37:C37"/>
    <mergeCell ref="H14:I14"/>
    <mergeCell ref="L14:N14"/>
    <mergeCell ref="B14:B15"/>
    <mergeCell ref="C14:C15"/>
    <mergeCell ref="D14:D15"/>
    <mergeCell ref="E14:E15"/>
    <mergeCell ref="F14:F15"/>
    <mergeCell ref="G14:G15"/>
    <mergeCell ref="J14:K14"/>
    <mergeCell ref="B7:C7"/>
    <mergeCell ref="B8:C8"/>
    <mergeCell ref="B9:C9"/>
    <mergeCell ref="B10:C10"/>
    <mergeCell ref="B3:C3"/>
    <mergeCell ref="B4:C4"/>
    <mergeCell ref="B5:C5"/>
    <mergeCell ref="B6:C6"/>
  </mergeCells>
  <phoneticPr fontId="5" type="noConversion"/>
  <pageMargins left="0.75" right="0.75" top="1" bottom="1" header="0.5" footer="0.5"/>
  <headerFooter alignWithMargins="0"/>
  <ignoredErrors>
    <ignoredError sqref="E17:F28 H34 F34:G37" unlockedFormula="1"/>
    <ignoredError sqref="D20 D24 D28" formulaRange="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5"/>
  <dimension ref="A1:M108"/>
  <sheetViews>
    <sheetView workbookViewId="0"/>
  </sheetViews>
  <sheetFormatPr defaultRowHeight="12.5"/>
  <cols>
    <col min="1" max="1" width="27" bestFit="1" customWidth="1"/>
    <col min="2" max="2" width="9" customWidth="1"/>
    <col min="3" max="3" width="12.54296875" customWidth="1"/>
    <col min="6" max="6" width="10" customWidth="1"/>
    <col min="7" max="7" width="12" bestFit="1" customWidth="1"/>
    <col min="8" max="8" width="10" bestFit="1" customWidth="1"/>
    <col min="9" max="9" width="10.1796875" bestFit="1" customWidth="1"/>
    <col min="10" max="10" width="10" bestFit="1" customWidth="1"/>
  </cols>
  <sheetData>
    <row r="1" spans="1:12" ht="13" thickBot="1"/>
    <row r="2" spans="1:12" ht="13">
      <c r="B2" s="80" t="s">
        <v>38</v>
      </c>
      <c r="C2" s="81"/>
      <c r="D2" s="81"/>
      <c r="E2" s="81"/>
      <c r="F2" s="81"/>
      <c r="G2" s="81"/>
      <c r="H2" s="81"/>
      <c r="I2" s="76"/>
      <c r="J2" s="76"/>
      <c r="K2" s="77"/>
    </row>
    <row r="3" spans="1:12" ht="13.5" thickBot="1">
      <c r="B3" s="82"/>
      <c r="C3" s="83" t="s">
        <v>37</v>
      </c>
      <c r="D3" s="83"/>
      <c r="E3" s="83"/>
      <c r="F3" s="83"/>
      <c r="G3" s="83"/>
      <c r="H3" s="83"/>
      <c r="I3" s="78"/>
      <c r="J3" s="78"/>
      <c r="K3" s="79"/>
    </row>
    <row r="5" spans="1:12" ht="13">
      <c r="A5" s="74" t="s">
        <v>36</v>
      </c>
      <c r="B5" s="75"/>
    </row>
    <row r="6" spans="1:12">
      <c r="A6" s="10" t="s">
        <v>0</v>
      </c>
      <c r="B6" s="61" t="e">
        <f>Calibration!#REF!</f>
        <v>#REF!</v>
      </c>
      <c r="C6" s="52"/>
      <c r="F6" t="s">
        <v>26</v>
      </c>
      <c r="G6" s="72" t="e">
        <f>1/(1+B9)</f>
        <v>#REF!</v>
      </c>
    </row>
    <row r="7" spans="1:12">
      <c r="A7" s="10" t="s">
        <v>29</v>
      </c>
      <c r="B7" s="61">
        <f>Calibration!H12</f>
        <v>5.3999999999999999E-2</v>
      </c>
      <c r="C7" s="53"/>
      <c r="D7" s="1"/>
      <c r="H7" s="1"/>
      <c r="I7" s="45" t="s">
        <v>27</v>
      </c>
      <c r="J7" s="50"/>
      <c r="K7" s="1"/>
    </row>
    <row r="8" spans="1:12">
      <c r="A8" s="10" t="s">
        <v>30</v>
      </c>
      <c r="B8" s="57">
        <f>Calibration!H18</f>
        <v>0</v>
      </c>
      <c r="C8" s="53"/>
      <c r="F8" s="51" t="s">
        <v>28</v>
      </c>
      <c r="G8" s="51" t="s">
        <v>14</v>
      </c>
      <c r="H8" s="51" t="s">
        <v>15</v>
      </c>
      <c r="I8" s="51" t="s">
        <v>14</v>
      </c>
      <c r="J8" s="51" t="s">
        <v>15</v>
      </c>
      <c r="K8" s="1"/>
      <c r="L8" s="1"/>
    </row>
    <row r="9" spans="1:12">
      <c r="A9" s="10" t="s">
        <v>6</v>
      </c>
      <c r="B9" s="62" t="e">
        <f>Calibration!#REF!</f>
        <v>#REF!</v>
      </c>
      <c r="C9" s="46"/>
      <c r="D9" s="1"/>
      <c r="F9" s="33"/>
      <c r="G9" s="71" t="e">
        <f>K35</f>
        <v>#REF!</v>
      </c>
      <c r="H9" s="71" t="e">
        <f>M35</f>
        <v>#REF!</v>
      </c>
      <c r="I9" s="33"/>
      <c r="J9" s="33"/>
      <c r="L9" s="6"/>
    </row>
    <row r="10" spans="1:12">
      <c r="A10" s="10" t="s">
        <v>7</v>
      </c>
      <c r="B10" s="62" t="e">
        <f>Calibration!#REF!</f>
        <v>#REF!</v>
      </c>
      <c r="C10" s="54"/>
      <c r="D10" s="1"/>
      <c r="E10" s="49"/>
      <c r="F10" s="73" t="e">
        <f>B21</f>
        <v>#REF!</v>
      </c>
      <c r="G10" s="70" t="e">
        <f t="dataTable" ref="G10:H19" dt2D="0" dtr="0" r1="I39"/>
        <v>#REF!</v>
      </c>
      <c r="H10" s="70" t="e">
        <v>#REF!</v>
      </c>
      <c r="I10" s="71" t="e">
        <f t="shared" ref="I10:I19" si="0">G10+MPRICE</f>
        <v>#REF!</v>
      </c>
      <c r="J10" s="71" t="e">
        <f t="shared" ref="J10:J19" si="1">MPRICE-H10</f>
        <v>#REF!</v>
      </c>
      <c r="K10" s="34"/>
      <c r="L10" s="6"/>
    </row>
    <row r="11" spans="1:12">
      <c r="A11" s="10" t="s">
        <v>8</v>
      </c>
      <c r="B11" s="62" t="e">
        <f>Calibration!#REF!</f>
        <v>#REF!</v>
      </c>
      <c r="C11" s="47"/>
      <c r="D11" s="1"/>
      <c r="F11" s="73" t="e">
        <f>F10+B$22</f>
        <v>#REF!</v>
      </c>
      <c r="G11" s="70" t="e">
        <v>#REF!</v>
      </c>
      <c r="H11" s="70" t="e">
        <v>#REF!</v>
      </c>
      <c r="I11" s="71" t="e">
        <f t="shared" si="0"/>
        <v>#REF!</v>
      </c>
      <c r="J11" s="71" t="e">
        <f t="shared" si="1"/>
        <v>#REF!</v>
      </c>
      <c r="K11" s="34"/>
      <c r="L11" s="6"/>
    </row>
    <row r="12" spans="1:12">
      <c r="A12" s="10" t="s">
        <v>9</v>
      </c>
      <c r="B12" s="62" t="e">
        <f>Calibration!#REF!</f>
        <v>#REF!</v>
      </c>
      <c r="C12" s="46"/>
      <c r="D12" s="1"/>
      <c r="F12" s="73" t="e">
        <f t="shared" ref="F12:F19" si="2">F11+B$22</f>
        <v>#REF!</v>
      </c>
      <c r="G12" s="70" t="e">
        <v>#REF!</v>
      </c>
      <c r="H12" s="70" t="e">
        <v>#REF!</v>
      </c>
      <c r="I12" s="71" t="e">
        <f t="shared" si="0"/>
        <v>#REF!</v>
      </c>
      <c r="J12" s="71" t="e">
        <f t="shared" si="1"/>
        <v>#REF!</v>
      </c>
      <c r="K12" s="34"/>
      <c r="L12" s="6"/>
    </row>
    <row r="13" spans="1:12">
      <c r="A13" s="8" t="s">
        <v>10</v>
      </c>
      <c r="B13" s="63" t="e">
        <f>Calibration!#REF!</f>
        <v>#REF!</v>
      </c>
      <c r="C13" s="48"/>
      <c r="D13" s="1"/>
      <c r="F13" s="73" t="e">
        <f t="shared" si="2"/>
        <v>#REF!</v>
      </c>
      <c r="G13" s="70" t="e">
        <v>#REF!</v>
      </c>
      <c r="H13" s="70" t="e">
        <v>#REF!</v>
      </c>
      <c r="I13" s="71" t="e">
        <f t="shared" si="0"/>
        <v>#REF!</v>
      </c>
      <c r="J13" s="71" t="e">
        <f t="shared" si="1"/>
        <v>#REF!</v>
      </c>
      <c r="K13" s="34"/>
      <c r="L13" s="6"/>
    </row>
    <row r="14" spans="1:12">
      <c r="A14" s="10" t="s">
        <v>1</v>
      </c>
      <c r="B14" s="61" t="e">
        <f>Calibration!#REF!</f>
        <v>#REF!</v>
      </c>
      <c r="C14" s="9"/>
      <c r="F14" s="73" t="e">
        <f t="shared" si="2"/>
        <v>#REF!</v>
      </c>
      <c r="G14" s="70" t="e">
        <v>#REF!</v>
      </c>
      <c r="H14" s="70" t="e">
        <v>#REF!</v>
      </c>
      <c r="I14" s="71" t="e">
        <f t="shared" si="0"/>
        <v>#REF!</v>
      </c>
      <c r="J14" s="71" t="e">
        <f t="shared" si="1"/>
        <v>#REF!</v>
      </c>
      <c r="K14" s="34"/>
      <c r="L14" s="6"/>
    </row>
    <row r="15" spans="1:12">
      <c r="A15" s="10" t="s">
        <v>2</v>
      </c>
      <c r="B15" s="64" t="e">
        <f>Calibration!#REF!</f>
        <v>#REF!</v>
      </c>
      <c r="C15" s="9"/>
      <c r="F15" s="73" t="e">
        <f t="shared" si="2"/>
        <v>#REF!</v>
      </c>
      <c r="G15" s="70" t="e">
        <v>#REF!</v>
      </c>
      <c r="H15" s="70" t="e">
        <v>#REF!</v>
      </c>
      <c r="I15" s="71" t="e">
        <f t="shared" si="0"/>
        <v>#REF!</v>
      </c>
      <c r="J15" s="71" t="e">
        <f t="shared" si="1"/>
        <v>#REF!</v>
      </c>
      <c r="K15" s="34"/>
      <c r="L15" s="6"/>
    </row>
    <row r="16" spans="1:12">
      <c r="A16" s="10" t="s">
        <v>3</v>
      </c>
      <c r="B16" s="65">
        <f>Calibration!H15</f>
        <v>4.7E-2</v>
      </c>
      <c r="C16" s="8"/>
      <c r="F16" s="73" t="e">
        <f t="shared" si="2"/>
        <v>#REF!</v>
      </c>
      <c r="G16" s="70" t="e">
        <v>#REF!</v>
      </c>
      <c r="H16" s="70" t="e">
        <v>#REF!</v>
      </c>
      <c r="I16" s="71" t="e">
        <f t="shared" si="0"/>
        <v>#REF!</v>
      </c>
      <c r="J16" s="71" t="e">
        <f t="shared" si="1"/>
        <v>#REF!</v>
      </c>
      <c r="K16" s="34"/>
      <c r="L16" s="6"/>
    </row>
    <row r="17" spans="1:12">
      <c r="A17" s="11" t="s">
        <v>4</v>
      </c>
      <c r="B17" s="64" t="e">
        <f>Calibration!#REF!</f>
        <v>#REF!</v>
      </c>
      <c r="C17" s="8"/>
      <c r="F17" s="73" t="e">
        <f t="shared" si="2"/>
        <v>#REF!</v>
      </c>
      <c r="G17" s="70" t="e">
        <v>#REF!</v>
      </c>
      <c r="H17" s="70" t="e">
        <v>#REF!</v>
      </c>
      <c r="I17" s="71" t="e">
        <f t="shared" si="0"/>
        <v>#REF!</v>
      </c>
      <c r="J17" s="71" t="e">
        <f t="shared" si="1"/>
        <v>#REF!</v>
      </c>
      <c r="K17" s="34"/>
      <c r="L17" s="6"/>
    </row>
    <row r="18" spans="1:12">
      <c r="A18" s="11" t="s">
        <v>5</v>
      </c>
      <c r="B18" s="64" t="e">
        <f>Calibration!#REF!</f>
        <v>#REF!</v>
      </c>
      <c r="C18" s="8"/>
      <c r="F18" s="73" t="e">
        <f t="shared" si="2"/>
        <v>#REF!</v>
      </c>
      <c r="G18" s="70" t="e">
        <v>#REF!</v>
      </c>
      <c r="H18" s="70" t="e">
        <v>#REF!</v>
      </c>
      <c r="I18" s="71" t="e">
        <f t="shared" si="0"/>
        <v>#REF!</v>
      </c>
      <c r="J18" s="71" t="e">
        <f t="shared" si="1"/>
        <v>#REF!</v>
      </c>
      <c r="K18" s="34"/>
      <c r="L18" s="6"/>
    </row>
    <row r="19" spans="1:12">
      <c r="A19" s="58" t="s">
        <v>31</v>
      </c>
      <c r="B19" s="66" t="e">
        <f>Calibration!#REF!</f>
        <v>#REF!</v>
      </c>
      <c r="C19" s="12"/>
      <c r="F19" s="73" t="e">
        <f t="shared" si="2"/>
        <v>#REF!</v>
      </c>
      <c r="G19" s="70" t="e">
        <v>#REF!</v>
      </c>
      <c r="H19" s="70" t="e">
        <v>#REF!</v>
      </c>
      <c r="I19" s="71" t="e">
        <f t="shared" si="0"/>
        <v>#REF!</v>
      </c>
      <c r="J19" s="71" t="e">
        <f t="shared" si="1"/>
        <v>#REF!</v>
      </c>
      <c r="K19" s="34"/>
      <c r="L19" s="6"/>
    </row>
    <row r="20" spans="1:12">
      <c r="A20" s="59" t="s">
        <v>32</v>
      </c>
      <c r="B20" s="67" t="e">
        <f>Calibration!#REF!</f>
        <v>#REF!</v>
      </c>
      <c r="C20" s="13"/>
      <c r="F20" s="1"/>
      <c r="G20" s="1"/>
      <c r="H20" s="1"/>
      <c r="I20" s="1"/>
      <c r="J20" s="1"/>
      <c r="K20" s="1"/>
      <c r="L20" s="4"/>
    </row>
    <row r="21" spans="1:12">
      <c r="A21" s="59" t="s">
        <v>33</v>
      </c>
      <c r="B21" s="68" t="e">
        <f>Calibration!#REF!</f>
        <v>#REF!</v>
      </c>
      <c r="C21" s="13"/>
      <c r="F21" s="2" t="s">
        <v>16</v>
      </c>
      <c r="G21" s="1"/>
      <c r="H21" s="1"/>
      <c r="I21" s="1"/>
      <c r="K21" s="1"/>
      <c r="L21" s="1"/>
    </row>
    <row r="22" spans="1:12">
      <c r="A22" s="60" t="s">
        <v>34</v>
      </c>
      <c r="B22" s="69" t="e">
        <f>Calibration!#REF!</f>
        <v>#REF!</v>
      </c>
      <c r="C22" s="14"/>
      <c r="F22" s="1"/>
      <c r="G22" s="2" t="s">
        <v>14</v>
      </c>
      <c r="H22" s="2" t="s">
        <v>15</v>
      </c>
      <c r="I22" s="1"/>
      <c r="K22" s="1"/>
      <c r="L22" s="1"/>
    </row>
    <row r="23" spans="1:12">
      <c r="A23" s="56"/>
      <c r="B23" s="55"/>
      <c r="C23" s="55"/>
      <c r="D23" s="1"/>
      <c r="F23" s="3"/>
      <c r="G23" s="71" t="e">
        <f>K35</f>
        <v>#REF!</v>
      </c>
      <c r="H23" s="71" t="e">
        <f>M35</f>
        <v>#REF!</v>
      </c>
      <c r="I23" s="5"/>
      <c r="K23" s="1"/>
      <c r="L23" s="1"/>
    </row>
    <row r="24" spans="1:12">
      <c r="A24" s="22"/>
      <c r="B24" s="23"/>
      <c r="C24" s="55"/>
      <c r="D24" s="1"/>
      <c r="F24" s="71" t="e">
        <f>B19</f>
        <v>#REF!</v>
      </c>
      <c r="G24" s="70" t="e">
        <f t="dataTable" ref="G24:H33" dt2D="0" dtr="0" r1="B6" ca="1"/>
        <v>#REF!</v>
      </c>
      <c r="H24" s="70" t="e">
        <v>#REF!</v>
      </c>
      <c r="I24" s="5"/>
      <c r="K24" s="1"/>
      <c r="L24" s="1"/>
    </row>
    <row r="25" spans="1:12">
      <c r="A25" s="22"/>
      <c r="B25" s="23"/>
      <c r="C25" s="55"/>
      <c r="D25" s="7"/>
      <c r="F25" s="71" t="e">
        <f>F24+B$20</f>
        <v>#REF!</v>
      </c>
      <c r="G25" s="70" t="e">
        <v>#REF!</v>
      </c>
      <c r="H25" s="70" t="e">
        <v>#REF!</v>
      </c>
      <c r="I25" s="5"/>
      <c r="K25" s="1"/>
      <c r="L25" s="1"/>
    </row>
    <row r="26" spans="1:12">
      <c r="A26" s="26"/>
      <c r="B26" s="27"/>
      <c r="C26" s="23"/>
      <c r="D26" s="1"/>
      <c r="F26" s="71" t="e">
        <f t="shared" ref="F26:F33" si="3">F25+B$20</f>
        <v>#REF!</v>
      </c>
      <c r="G26" s="70" t="e">
        <v>#REF!</v>
      </c>
      <c r="H26" s="70" t="e">
        <v>#REF!</v>
      </c>
      <c r="I26" s="5"/>
      <c r="K26" s="1"/>
      <c r="L26" s="1"/>
    </row>
    <row r="27" spans="1:12">
      <c r="A27" s="28"/>
      <c r="B27" s="29"/>
      <c r="C27" s="29"/>
      <c r="D27" s="1"/>
      <c r="F27" s="71" t="e">
        <f t="shared" si="3"/>
        <v>#REF!</v>
      </c>
      <c r="G27" s="70" t="e">
        <v>#REF!</v>
      </c>
      <c r="H27" s="70" t="e">
        <v>#REF!</v>
      </c>
      <c r="I27" s="5"/>
      <c r="K27" s="1"/>
      <c r="L27" s="1"/>
    </row>
    <row r="28" spans="1:12">
      <c r="A28" s="30"/>
      <c r="B28" s="31"/>
      <c r="C28" s="31"/>
      <c r="D28" s="1"/>
      <c r="F28" s="71" t="e">
        <f t="shared" si="3"/>
        <v>#REF!</v>
      </c>
      <c r="G28" s="70" t="e">
        <v>#REF!</v>
      </c>
      <c r="H28" s="70" t="e">
        <v>#REF!</v>
      </c>
      <c r="I28" s="5"/>
      <c r="K28" s="1"/>
      <c r="L28" s="1"/>
    </row>
    <row r="29" spans="1:12">
      <c r="A29" s="30"/>
      <c r="B29" s="31"/>
      <c r="C29" s="31"/>
      <c r="D29" s="1"/>
      <c r="F29" s="71" t="e">
        <f t="shared" si="3"/>
        <v>#REF!</v>
      </c>
      <c r="G29" s="70" t="e">
        <v>#REF!</v>
      </c>
      <c r="H29" s="70" t="e">
        <v>#REF!</v>
      </c>
      <c r="I29" s="5"/>
      <c r="K29" s="1"/>
      <c r="L29" s="1"/>
    </row>
    <row r="30" spans="1:12">
      <c r="A30" s="28"/>
      <c r="B30" s="29"/>
      <c r="C30" s="29"/>
      <c r="D30" s="1"/>
      <c r="F30" s="71" t="e">
        <f t="shared" si="3"/>
        <v>#REF!</v>
      </c>
      <c r="G30" s="70" t="e">
        <v>#REF!</v>
      </c>
      <c r="H30" s="70" t="e">
        <v>#REF!</v>
      </c>
      <c r="I30" s="5"/>
      <c r="K30" s="1"/>
      <c r="L30" s="1"/>
    </row>
    <row r="31" spans="1:12">
      <c r="A31" s="21"/>
      <c r="B31" s="21"/>
      <c r="C31" s="21"/>
      <c r="D31" s="1"/>
      <c r="F31" s="71" t="e">
        <f t="shared" si="3"/>
        <v>#REF!</v>
      </c>
      <c r="G31" s="70" t="e">
        <v>#REF!</v>
      </c>
      <c r="H31" s="70" t="e">
        <v>#REF!</v>
      </c>
      <c r="I31" s="5"/>
      <c r="K31" s="1"/>
      <c r="L31" s="1"/>
    </row>
    <row r="32" spans="1:12">
      <c r="A32" s="21"/>
      <c r="B32" s="21"/>
      <c r="C32" s="21"/>
      <c r="D32" s="1"/>
      <c r="F32" s="71" t="e">
        <f t="shared" si="3"/>
        <v>#REF!</v>
      </c>
      <c r="G32" s="70" t="e">
        <v>#REF!</v>
      </c>
      <c r="H32" s="70" t="e">
        <v>#REF!</v>
      </c>
      <c r="I32" s="5"/>
      <c r="K32" s="1"/>
      <c r="L32" s="1"/>
    </row>
    <row r="33" spans="1:13">
      <c r="A33" s="21"/>
      <c r="B33" s="21"/>
      <c r="C33" s="21"/>
      <c r="D33" s="1"/>
      <c r="F33" s="71" t="e">
        <f t="shared" si="3"/>
        <v>#REF!</v>
      </c>
      <c r="G33" s="70" t="e">
        <v>#REF!</v>
      </c>
      <c r="H33" s="70" t="e">
        <v>#REF!</v>
      </c>
      <c r="I33" s="5"/>
      <c r="K33" s="1"/>
      <c r="L33" s="1"/>
    </row>
    <row r="34" spans="1:13">
      <c r="A34" s="21"/>
      <c r="B34" s="21"/>
      <c r="C34" s="21"/>
      <c r="D34" s="1"/>
      <c r="F34" s="1"/>
      <c r="G34" s="1"/>
      <c r="H34" s="1"/>
      <c r="I34" s="1"/>
      <c r="J34" s="1"/>
      <c r="K34" s="1"/>
      <c r="L34" s="1"/>
    </row>
    <row r="35" spans="1:13" ht="13">
      <c r="A35" s="21"/>
      <c r="B35" s="21"/>
      <c r="C35" s="21"/>
      <c r="D35" s="1"/>
      <c r="F35" s="8"/>
      <c r="G35" s="8"/>
      <c r="H35" s="8"/>
      <c r="I35" s="16" t="s">
        <v>17</v>
      </c>
      <c r="J35" s="17" t="e">
        <f>SUM(J39:J108)+SV_New</f>
        <v>#REF!</v>
      </c>
      <c r="K35" s="17" t="e">
        <f>SUM(K39:K48)+SV_New*DMULT^(N_years-1)</f>
        <v>#REF!</v>
      </c>
      <c r="L35" s="17" t="e">
        <f>SUM(L39:L108)</f>
        <v>#REF!</v>
      </c>
      <c r="M35" s="18" t="e">
        <f>SUM(M39:M108)</f>
        <v>#REF!</v>
      </c>
    </row>
    <row r="36" spans="1:13">
      <c r="A36" s="21"/>
      <c r="B36" s="21"/>
      <c r="C36" s="21"/>
      <c r="D36" s="1"/>
      <c r="F36" s="8"/>
      <c r="G36" s="8"/>
      <c r="H36" s="8"/>
      <c r="I36" s="8"/>
      <c r="J36" s="8"/>
      <c r="K36" s="8"/>
      <c r="L36" s="8"/>
      <c r="M36" s="8"/>
    </row>
    <row r="37" spans="1:13">
      <c r="A37" s="21"/>
      <c r="B37" s="21"/>
      <c r="C37" s="21"/>
      <c r="D37" s="1"/>
      <c r="F37" s="35" t="s">
        <v>35</v>
      </c>
      <c r="G37" s="36" t="s">
        <v>18</v>
      </c>
      <c r="H37" s="36" t="s">
        <v>19</v>
      </c>
      <c r="I37" s="36" t="s">
        <v>20</v>
      </c>
      <c r="J37" s="36" t="s">
        <v>21</v>
      </c>
      <c r="K37" s="36" t="s">
        <v>11</v>
      </c>
      <c r="L37" s="36" t="s">
        <v>12</v>
      </c>
      <c r="M37" s="37" t="s">
        <v>12</v>
      </c>
    </row>
    <row r="38" spans="1:13">
      <c r="A38" s="21"/>
      <c r="B38" s="21"/>
      <c r="C38" s="21"/>
      <c r="D38" s="1"/>
      <c r="F38" s="38" t="s">
        <v>22</v>
      </c>
      <c r="G38" s="19" t="s">
        <v>23</v>
      </c>
      <c r="H38" s="19" t="s">
        <v>24</v>
      </c>
      <c r="I38" s="19" t="s">
        <v>24</v>
      </c>
      <c r="J38" s="19" t="s">
        <v>25</v>
      </c>
      <c r="K38" s="19" t="s">
        <v>13</v>
      </c>
      <c r="L38" s="19" t="s">
        <v>25</v>
      </c>
      <c r="M38" s="39" t="s">
        <v>13</v>
      </c>
    </row>
    <row r="39" spans="1:13">
      <c r="A39" s="21"/>
      <c r="B39" s="21"/>
      <c r="C39" s="21"/>
      <c r="D39" s="1">
        <v>1</v>
      </c>
      <c r="E39" t="e">
        <f t="shared" ref="E39:E70" si="4">IF(AND(D39&gt;0,D39&lt;=N_years),1,0)</f>
        <v>#REF!</v>
      </c>
      <c r="F39" s="40" t="e">
        <f>IF(E39=1,D39,"")</f>
        <v>#REF!</v>
      </c>
      <c r="G39" s="41">
        <f>B16</f>
        <v>4.7E-2</v>
      </c>
      <c r="H39" s="42" t="e">
        <f>Old_ppp</f>
        <v>#REF!</v>
      </c>
      <c r="I39" s="42" t="e">
        <f>new_ppp</f>
        <v>#REF!</v>
      </c>
      <c r="J39" s="43" t="e">
        <f>(G39*(H39-I39)+SV_Old-MPRICE)</f>
        <v>#REF!</v>
      </c>
      <c r="K39" s="43" t="e">
        <f>J39*DMULT^(F39-1)</f>
        <v>#REF!</v>
      </c>
      <c r="L39" s="43" t="e">
        <f>G39*(I39-CPP)+MPRICE-MCOST</f>
        <v>#REF!</v>
      </c>
      <c r="M39" s="44" t="e">
        <f>L39*DMULT^(F39-1)</f>
        <v>#REF!</v>
      </c>
    </row>
    <row r="40" spans="1:13">
      <c r="A40" s="21"/>
      <c r="B40" s="21"/>
      <c r="C40" s="21"/>
      <c r="D40" s="1">
        <v>2</v>
      </c>
      <c r="E40" t="e">
        <f t="shared" si="4"/>
        <v>#REF!</v>
      </c>
      <c r="F40" s="40" t="e">
        <f t="shared" ref="F40:F103" si="5">IF(E40=1,D40,"")</f>
        <v>#REF!</v>
      </c>
      <c r="G40" s="41" t="e">
        <f t="shared" ref="G40:G71" si="6">IF(E40=1,E40*(G39*(1+growth)),"")</f>
        <v>#REF!</v>
      </c>
      <c r="H40" s="42" t="e">
        <f t="shared" ref="H40:H71" si="7">IF(E40=1,E40*(H39*(1+Old_ppp_inc)),"")</f>
        <v>#REF!</v>
      </c>
      <c r="I40" s="42" t="e">
        <f t="shared" ref="I40:I71" si="8">IF(E40=1,E40*(I39*(1+new_ppp_inc)),"")</f>
        <v>#REF!</v>
      </c>
      <c r="J40" s="43" t="e">
        <f>IF(E40=1,E40*(G40*(H40-I40)),"")</f>
        <v>#REF!</v>
      </c>
      <c r="K40" s="43" t="e">
        <f t="shared" ref="K40:K71" si="9">IF(E40=1,E40*(J40*DMULT^(F40-1)),"")</f>
        <v>#REF!</v>
      </c>
      <c r="L40" s="43" t="e">
        <f t="shared" ref="L40:L71" si="10">IF(E40=1,E40*(G40*(I40-CPP)),"")</f>
        <v>#REF!</v>
      </c>
      <c r="M40" s="44" t="e">
        <f t="shared" ref="M40:M71" si="11">IF(E40=1,E40*(L40*DMULT^(F40-1)),"")</f>
        <v>#REF!</v>
      </c>
    </row>
    <row r="41" spans="1:13">
      <c r="A41" s="22"/>
      <c r="B41" s="23"/>
      <c r="D41" s="1">
        <v>3</v>
      </c>
      <c r="E41" t="e">
        <f t="shared" si="4"/>
        <v>#REF!</v>
      </c>
      <c r="F41" s="40" t="e">
        <f t="shared" si="5"/>
        <v>#REF!</v>
      </c>
      <c r="G41" s="41" t="e">
        <f t="shared" si="6"/>
        <v>#REF!</v>
      </c>
      <c r="H41" s="42" t="e">
        <f t="shared" si="7"/>
        <v>#REF!</v>
      </c>
      <c r="I41" s="42" t="e">
        <f t="shared" si="8"/>
        <v>#REF!</v>
      </c>
      <c r="J41" s="43" t="e">
        <f t="shared" ref="J41:J104" si="12">IF(E41=1,E41*(G41*(H41-I41)),"")</f>
        <v>#REF!</v>
      </c>
      <c r="K41" s="43" t="e">
        <f t="shared" si="9"/>
        <v>#REF!</v>
      </c>
      <c r="L41" s="43" t="e">
        <f t="shared" si="10"/>
        <v>#REF!</v>
      </c>
      <c r="M41" s="44" t="e">
        <f t="shared" si="11"/>
        <v>#REF!</v>
      </c>
    </row>
    <row r="42" spans="1:13">
      <c r="A42" s="22"/>
      <c r="B42" s="23"/>
      <c r="D42" s="1">
        <v>4</v>
      </c>
      <c r="E42" t="e">
        <f t="shared" si="4"/>
        <v>#REF!</v>
      </c>
      <c r="F42" s="40" t="e">
        <f t="shared" si="5"/>
        <v>#REF!</v>
      </c>
      <c r="G42" s="41" t="e">
        <f t="shared" si="6"/>
        <v>#REF!</v>
      </c>
      <c r="H42" s="42" t="e">
        <f t="shared" si="7"/>
        <v>#REF!</v>
      </c>
      <c r="I42" s="42" t="e">
        <f t="shared" si="8"/>
        <v>#REF!</v>
      </c>
      <c r="J42" s="43" t="e">
        <f t="shared" si="12"/>
        <v>#REF!</v>
      </c>
      <c r="K42" s="43" t="e">
        <f t="shared" si="9"/>
        <v>#REF!</v>
      </c>
      <c r="L42" s="43" t="e">
        <f t="shared" si="10"/>
        <v>#REF!</v>
      </c>
      <c r="M42" s="44" t="e">
        <f t="shared" si="11"/>
        <v>#REF!</v>
      </c>
    </row>
    <row r="43" spans="1:13">
      <c r="A43" s="24"/>
      <c r="B43" s="25"/>
      <c r="C43" s="23"/>
      <c r="D43" s="1">
        <v>5</v>
      </c>
      <c r="E43" t="e">
        <f t="shared" si="4"/>
        <v>#REF!</v>
      </c>
      <c r="F43" s="40" t="e">
        <f t="shared" si="5"/>
        <v>#REF!</v>
      </c>
      <c r="G43" s="41" t="e">
        <f t="shared" si="6"/>
        <v>#REF!</v>
      </c>
      <c r="H43" s="42" t="e">
        <f t="shared" si="7"/>
        <v>#REF!</v>
      </c>
      <c r="I43" s="42" t="e">
        <f t="shared" si="8"/>
        <v>#REF!</v>
      </c>
      <c r="J43" s="43" t="e">
        <f t="shared" si="12"/>
        <v>#REF!</v>
      </c>
      <c r="K43" s="43" t="e">
        <f t="shared" si="9"/>
        <v>#REF!</v>
      </c>
      <c r="L43" s="43" t="e">
        <f t="shared" si="10"/>
        <v>#REF!</v>
      </c>
      <c r="M43" s="44" t="e">
        <f t="shared" si="11"/>
        <v>#REF!</v>
      </c>
    </row>
    <row r="44" spans="1:13">
      <c r="A44" s="22"/>
      <c r="B44" s="23"/>
      <c r="C44" s="23"/>
      <c r="D44" s="1">
        <v>6</v>
      </c>
      <c r="E44" t="e">
        <f t="shared" si="4"/>
        <v>#REF!</v>
      </c>
      <c r="F44" s="40" t="e">
        <f t="shared" si="5"/>
        <v>#REF!</v>
      </c>
      <c r="G44" s="41" t="e">
        <f t="shared" si="6"/>
        <v>#REF!</v>
      </c>
      <c r="H44" s="42" t="e">
        <f t="shared" si="7"/>
        <v>#REF!</v>
      </c>
      <c r="I44" s="42" t="e">
        <f t="shared" si="8"/>
        <v>#REF!</v>
      </c>
      <c r="J44" s="43" t="e">
        <f t="shared" si="12"/>
        <v>#REF!</v>
      </c>
      <c r="K44" s="43" t="e">
        <f t="shared" si="9"/>
        <v>#REF!</v>
      </c>
      <c r="L44" s="43" t="e">
        <f t="shared" si="10"/>
        <v>#REF!</v>
      </c>
      <c r="M44" s="44" t="e">
        <f t="shared" si="11"/>
        <v>#REF!</v>
      </c>
    </row>
    <row r="45" spans="1:13">
      <c r="A45" s="22"/>
      <c r="B45" s="23"/>
      <c r="C45" s="25"/>
      <c r="D45" s="1">
        <v>7</v>
      </c>
      <c r="E45" t="e">
        <f t="shared" si="4"/>
        <v>#REF!</v>
      </c>
      <c r="F45" s="40" t="e">
        <f t="shared" si="5"/>
        <v>#REF!</v>
      </c>
      <c r="G45" s="41" t="e">
        <f t="shared" si="6"/>
        <v>#REF!</v>
      </c>
      <c r="H45" s="42" t="e">
        <f t="shared" si="7"/>
        <v>#REF!</v>
      </c>
      <c r="I45" s="42" t="e">
        <f t="shared" si="8"/>
        <v>#REF!</v>
      </c>
      <c r="J45" s="43" t="e">
        <f t="shared" si="12"/>
        <v>#REF!</v>
      </c>
      <c r="K45" s="43" t="e">
        <f t="shared" si="9"/>
        <v>#REF!</v>
      </c>
      <c r="L45" s="43" t="e">
        <f t="shared" si="10"/>
        <v>#REF!</v>
      </c>
      <c r="M45" s="44" t="e">
        <f t="shared" si="11"/>
        <v>#REF!</v>
      </c>
    </row>
    <row r="46" spans="1:13">
      <c r="A46" s="26"/>
      <c r="B46" s="27"/>
      <c r="C46" s="23"/>
      <c r="D46" s="1">
        <v>8</v>
      </c>
      <c r="E46" t="e">
        <f t="shared" si="4"/>
        <v>#REF!</v>
      </c>
      <c r="F46" s="40" t="e">
        <f t="shared" si="5"/>
        <v>#REF!</v>
      </c>
      <c r="G46" s="41" t="e">
        <f t="shared" si="6"/>
        <v>#REF!</v>
      </c>
      <c r="H46" s="42" t="e">
        <f t="shared" si="7"/>
        <v>#REF!</v>
      </c>
      <c r="I46" s="42" t="e">
        <f t="shared" si="8"/>
        <v>#REF!</v>
      </c>
      <c r="J46" s="43" t="e">
        <f t="shared" si="12"/>
        <v>#REF!</v>
      </c>
      <c r="K46" s="43" t="e">
        <f t="shared" si="9"/>
        <v>#REF!</v>
      </c>
      <c r="L46" s="43" t="e">
        <f t="shared" si="10"/>
        <v>#REF!</v>
      </c>
      <c r="M46" s="44" t="e">
        <f t="shared" si="11"/>
        <v>#REF!</v>
      </c>
    </row>
    <row r="47" spans="1:13">
      <c r="A47" s="28"/>
      <c r="B47" s="29"/>
      <c r="C47" s="29"/>
      <c r="D47" s="1">
        <v>9</v>
      </c>
      <c r="E47" t="e">
        <f t="shared" si="4"/>
        <v>#REF!</v>
      </c>
      <c r="F47" s="40" t="e">
        <f t="shared" si="5"/>
        <v>#REF!</v>
      </c>
      <c r="G47" s="41" t="e">
        <f t="shared" si="6"/>
        <v>#REF!</v>
      </c>
      <c r="H47" s="42" t="e">
        <f t="shared" si="7"/>
        <v>#REF!</v>
      </c>
      <c r="I47" s="42" t="e">
        <f t="shared" si="8"/>
        <v>#REF!</v>
      </c>
      <c r="J47" s="43" t="e">
        <f t="shared" si="12"/>
        <v>#REF!</v>
      </c>
      <c r="K47" s="43" t="e">
        <f t="shared" si="9"/>
        <v>#REF!</v>
      </c>
      <c r="L47" s="43" t="e">
        <f t="shared" si="10"/>
        <v>#REF!</v>
      </c>
      <c r="M47" s="44" t="e">
        <f t="shared" si="11"/>
        <v>#REF!</v>
      </c>
    </row>
    <row r="48" spans="1:13">
      <c r="A48" s="30"/>
      <c r="B48" s="31"/>
      <c r="C48" s="31"/>
      <c r="D48" s="1">
        <v>10</v>
      </c>
      <c r="E48" t="e">
        <f t="shared" si="4"/>
        <v>#REF!</v>
      </c>
      <c r="F48" s="40" t="e">
        <f t="shared" si="5"/>
        <v>#REF!</v>
      </c>
      <c r="G48" s="41" t="e">
        <f t="shared" si="6"/>
        <v>#REF!</v>
      </c>
      <c r="H48" s="42" t="e">
        <f t="shared" si="7"/>
        <v>#REF!</v>
      </c>
      <c r="I48" s="42" t="e">
        <f t="shared" si="8"/>
        <v>#REF!</v>
      </c>
      <c r="J48" s="43" t="e">
        <f t="shared" si="12"/>
        <v>#REF!</v>
      </c>
      <c r="K48" s="43" t="e">
        <f t="shared" si="9"/>
        <v>#REF!</v>
      </c>
      <c r="L48" s="43" t="e">
        <f t="shared" si="10"/>
        <v>#REF!</v>
      </c>
      <c r="M48" s="44" t="e">
        <f t="shared" si="11"/>
        <v>#REF!</v>
      </c>
    </row>
    <row r="49" spans="1:13">
      <c r="A49" s="30"/>
      <c r="B49" s="31"/>
      <c r="C49" s="31"/>
      <c r="D49" s="1">
        <v>11</v>
      </c>
      <c r="E49" t="e">
        <f t="shared" si="4"/>
        <v>#REF!</v>
      </c>
      <c r="F49" s="40" t="e">
        <f t="shared" si="5"/>
        <v>#REF!</v>
      </c>
      <c r="G49" s="41" t="e">
        <f t="shared" si="6"/>
        <v>#REF!</v>
      </c>
      <c r="H49" s="42" t="e">
        <f t="shared" si="7"/>
        <v>#REF!</v>
      </c>
      <c r="I49" s="42" t="e">
        <f t="shared" si="8"/>
        <v>#REF!</v>
      </c>
      <c r="J49" s="43" t="e">
        <f t="shared" si="12"/>
        <v>#REF!</v>
      </c>
      <c r="K49" s="43" t="e">
        <f t="shared" si="9"/>
        <v>#REF!</v>
      </c>
      <c r="L49" s="43" t="e">
        <f t="shared" si="10"/>
        <v>#REF!</v>
      </c>
      <c r="M49" s="44" t="e">
        <f t="shared" si="11"/>
        <v>#REF!</v>
      </c>
    </row>
    <row r="50" spans="1:13">
      <c r="A50" s="28"/>
      <c r="B50" s="29"/>
      <c r="C50" s="29"/>
      <c r="D50" s="1">
        <v>12</v>
      </c>
      <c r="E50" t="e">
        <f t="shared" si="4"/>
        <v>#REF!</v>
      </c>
      <c r="F50" s="40" t="e">
        <f t="shared" si="5"/>
        <v>#REF!</v>
      </c>
      <c r="G50" s="41" t="e">
        <f t="shared" si="6"/>
        <v>#REF!</v>
      </c>
      <c r="H50" s="42" t="e">
        <f t="shared" si="7"/>
        <v>#REF!</v>
      </c>
      <c r="I50" s="42" t="e">
        <f t="shared" si="8"/>
        <v>#REF!</v>
      </c>
      <c r="J50" s="43" t="e">
        <f t="shared" si="12"/>
        <v>#REF!</v>
      </c>
      <c r="K50" s="43" t="e">
        <f t="shared" si="9"/>
        <v>#REF!</v>
      </c>
      <c r="L50" s="43" t="e">
        <f t="shared" si="10"/>
        <v>#REF!</v>
      </c>
      <c r="M50" s="44" t="e">
        <f t="shared" si="11"/>
        <v>#REF!</v>
      </c>
    </row>
    <row r="51" spans="1:13">
      <c r="A51" s="20"/>
      <c r="B51" s="21"/>
      <c r="C51" s="21"/>
      <c r="D51" s="1">
        <v>13</v>
      </c>
      <c r="E51" t="e">
        <f t="shared" si="4"/>
        <v>#REF!</v>
      </c>
      <c r="F51" s="40" t="e">
        <f t="shared" si="5"/>
        <v>#REF!</v>
      </c>
      <c r="G51" s="41" t="e">
        <f t="shared" si="6"/>
        <v>#REF!</v>
      </c>
      <c r="H51" s="42" t="e">
        <f t="shared" si="7"/>
        <v>#REF!</v>
      </c>
      <c r="I51" s="42" t="e">
        <f t="shared" si="8"/>
        <v>#REF!</v>
      </c>
      <c r="J51" s="43" t="e">
        <f t="shared" si="12"/>
        <v>#REF!</v>
      </c>
      <c r="K51" s="43" t="e">
        <f t="shared" si="9"/>
        <v>#REF!</v>
      </c>
      <c r="L51" s="43" t="e">
        <f t="shared" si="10"/>
        <v>#REF!</v>
      </c>
      <c r="M51" s="44" t="e">
        <f t="shared" si="11"/>
        <v>#REF!</v>
      </c>
    </row>
    <row r="52" spans="1:13">
      <c r="A52" s="20"/>
      <c r="B52" s="21"/>
      <c r="C52" s="21"/>
      <c r="D52" s="1">
        <v>14</v>
      </c>
      <c r="E52" t="e">
        <f t="shared" si="4"/>
        <v>#REF!</v>
      </c>
      <c r="F52" s="40" t="e">
        <f t="shared" si="5"/>
        <v>#REF!</v>
      </c>
      <c r="G52" s="41" t="e">
        <f t="shared" si="6"/>
        <v>#REF!</v>
      </c>
      <c r="H52" s="42" t="e">
        <f t="shared" si="7"/>
        <v>#REF!</v>
      </c>
      <c r="I52" s="42" t="e">
        <f t="shared" si="8"/>
        <v>#REF!</v>
      </c>
      <c r="J52" s="43" t="e">
        <f t="shared" si="12"/>
        <v>#REF!</v>
      </c>
      <c r="K52" s="43" t="e">
        <f t="shared" si="9"/>
        <v>#REF!</v>
      </c>
      <c r="L52" s="43" t="e">
        <f t="shared" si="10"/>
        <v>#REF!</v>
      </c>
      <c r="M52" s="44" t="e">
        <f t="shared" si="11"/>
        <v>#REF!</v>
      </c>
    </row>
    <row r="53" spans="1:13">
      <c r="A53" s="20"/>
      <c r="B53" s="21"/>
      <c r="C53" s="21"/>
      <c r="D53" s="1">
        <v>15</v>
      </c>
      <c r="E53" t="e">
        <f t="shared" si="4"/>
        <v>#REF!</v>
      </c>
      <c r="F53" s="40" t="e">
        <f t="shared" si="5"/>
        <v>#REF!</v>
      </c>
      <c r="G53" s="41" t="e">
        <f t="shared" si="6"/>
        <v>#REF!</v>
      </c>
      <c r="H53" s="42" t="e">
        <f t="shared" si="7"/>
        <v>#REF!</v>
      </c>
      <c r="I53" s="42" t="e">
        <f t="shared" si="8"/>
        <v>#REF!</v>
      </c>
      <c r="J53" s="43" t="e">
        <f t="shared" si="12"/>
        <v>#REF!</v>
      </c>
      <c r="K53" s="43" t="e">
        <f t="shared" si="9"/>
        <v>#REF!</v>
      </c>
      <c r="L53" s="43" t="e">
        <f t="shared" si="10"/>
        <v>#REF!</v>
      </c>
      <c r="M53" s="44" t="e">
        <f t="shared" si="11"/>
        <v>#REF!</v>
      </c>
    </row>
    <row r="54" spans="1:13">
      <c r="A54" s="20"/>
      <c r="B54" s="21"/>
      <c r="C54" s="21"/>
      <c r="D54" s="1">
        <v>16</v>
      </c>
      <c r="E54" t="e">
        <f t="shared" si="4"/>
        <v>#REF!</v>
      </c>
      <c r="F54" s="40" t="e">
        <f t="shared" si="5"/>
        <v>#REF!</v>
      </c>
      <c r="G54" s="41" t="e">
        <f t="shared" si="6"/>
        <v>#REF!</v>
      </c>
      <c r="H54" s="42" t="e">
        <f t="shared" si="7"/>
        <v>#REF!</v>
      </c>
      <c r="I54" s="42" t="e">
        <f t="shared" si="8"/>
        <v>#REF!</v>
      </c>
      <c r="J54" s="43" t="e">
        <f t="shared" si="12"/>
        <v>#REF!</v>
      </c>
      <c r="K54" s="43" t="e">
        <f t="shared" si="9"/>
        <v>#REF!</v>
      </c>
      <c r="L54" s="43" t="e">
        <f t="shared" si="10"/>
        <v>#REF!</v>
      </c>
      <c r="M54" s="44" t="e">
        <f t="shared" si="11"/>
        <v>#REF!</v>
      </c>
    </row>
    <row r="55" spans="1:13">
      <c r="A55" s="20"/>
      <c r="B55" s="21"/>
      <c r="C55" s="21"/>
      <c r="D55" s="1">
        <v>17</v>
      </c>
      <c r="E55" t="e">
        <f t="shared" si="4"/>
        <v>#REF!</v>
      </c>
      <c r="F55" s="40" t="e">
        <f t="shared" si="5"/>
        <v>#REF!</v>
      </c>
      <c r="G55" s="41" t="e">
        <f t="shared" si="6"/>
        <v>#REF!</v>
      </c>
      <c r="H55" s="42" t="e">
        <f t="shared" si="7"/>
        <v>#REF!</v>
      </c>
      <c r="I55" s="42" t="e">
        <f t="shared" si="8"/>
        <v>#REF!</v>
      </c>
      <c r="J55" s="43" t="e">
        <f t="shared" si="12"/>
        <v>#REF!</v>
      </c>
      <c r="K55" s="43" t="e">
        <f t="shared" si="9"/>
        <v>#REF!</v>
      </c>
      <c r="L55" s="43" t="e">
        <f t="shared" si="10"/>
        <v>#REF!</v>
      </c>
      <c r="M55" s="44" t="e">
        <f t="shared" si="11"/>
        <v>#REF!</v>
      </c>
    </row>
    <row r="56" spans="1:13">
      <c r="A56" s="20"/>
      <c r="B56" s="21"/>
      <c r="C56" s="21"/>
      <c r="D56" s="1">
        <v>18</v>
      </c>
      <c r="E56" t="e">
        <f t="shared" si="4"/>
        <v>#REF!</v>
      </c>
      <c r="F56" s="40" t="e">
        <f t="shared" si="5"/>
        <v>#REF!</v>
      </c>
      <c r="G56" s="41" t="e">
        <f t="shared" si="6"/>
        <v>#REF!</v>
      </c>
      <c r="H56" s="42" t="e">
        <f t="shared" si="7"/>
        <v>#REF!</v>
      </c>
      <c r="I56" s="42" t="e">
        <f t="shared" si="8"/>
        <v>#REF!</v>
      </c>
      <c r="J56" s="43" t="e">
        <f t="shared" si="12"/>
        <v>#REF!</v>
      </c>
      <c r="K56" s="43" t="e">
        <f t="shared" si="9"/>
        <v>#REF!</v>
      </c>
      <c r="L56" s="43" t="e">
        <f t="shared" si="10"/>
        <v>#REF!</v>
      </c>
      <c r="M56" s="44" t="e">
        <f t="shared" si="11"/>
        <v>#REF!</v>
      </c>
    </row>
    <row r="57" spans="1:13">
      <c r="A57" s="20"/>
      <c r="B57" s="21"/>
      <c r="C57" s="21"/>
      <c r="D57" s="1">
        <v>19</v>
      </c>
      <c r="E57" t="e">
        <f t="shared" si="4"/>
        <v>#REF!</v>
      </c>
      <c r="F57" s="40" t="e">
        <f t="shared" si="5"/>
        <v>#REF!</v>
      </c>
      <c r="G57" s="41" t="e">
        <f t="shared" si="6"/>
        <v>#REF!</v>
      </c>
      <c r="H57" s="42" t="e">
        <f t="shared" si="7"/>
        <v>#REF!</v>
      </c>
      <c r="I57" s="42" t="e">
        <f t="shared" si="8"/>
        <v>#REF!</v>
      </c>
      <c r="J57" s="43" t="e">
        <f t="shared" si="12"/>
        <v>#REF!</v>
      </c>
      <c r="K57" s="43" t="e">
        <f t="shared" si="9"/>
        <v>#REF!</v>
      </c>
      <c r="L57" s="43" t="e">
        <f t="shared" si="10"/>
        <v>#REF!</v>
      </c>
      <c r="M57" s="44" t="e">
        <f t="shared" si="11"/>
        <v>#REF!</v>
      </c>
    </row>
    <row r="58" spans="1:13">
      <c r="A58" s="20"/>
      <c r="B58" s="21"/>
      <c r="C58" s="21"/>
      <c r="D58" s="1">
        <v>20</v>
      </c>
      <c r="E58" t="e">
        <f t="shared" si="4"/>
        <v>#REF!</v>
      </c>
      <c r="F58" s="40" t="e">
        <f t="shared" si="5"/>
        <v>#REF!</v>
      </c>
      <c r="G58" s="41" t="e">
        <f t="shared" si="6"/>
        <v>#REF!</v>
      </c>
      <c r="H58" s="42" t="e">
        <f t="shared" si="7"/>
        <v>#REF!</v>
      </c>
      <c r="I58" s="42" t="e">
        <f t="shared" si="8"/>
        <v>#REF!</v>
      </c>
      <c r="J58" s="43" t="e">
        <f t="shared" si="12"/>
        <v>#REF!</v>
      </c>
      <c r="K58" s="43" t="e">
        <f t="shared" si="9"/>
        <v>#REF!</v>
      </c>
      <c r="L58" s="43" t="e">
        <f t="shared" si="10"/>
        <v>#REF!</v>
      </c>
      <c r="M58" s="44" t="e">
        <f t="shared" si="11"/>
        <v>#REF!</v>
      </c>
    </row>
    <row r="59" spans="1:13">
      <c r="A59" s="20"/>
      <c r="B59" s="21"/>
      <c r="C59" s="21"/>
      <c r="D59" s="1">
        <v>21</v>
      </c>
      <c r="E59" t="e">
        <f t="shared" si="4"/>
        <v>#REF!</v>
      </c>
      <c r="F59" s="40" t="e">
        <f t="shared" si="5"/>
        <v>#REF!</v>
      </c>
      <c r="G59" s="41" t="e">
        <f t="shared" si="6"/>
        <v>#REF!</v>
      </c>
      <c r="H59" s="42" t="e">
        <f t="shared" si="7"/>
        <v>#REF!</v>
      </c>
      <c r="I59" s="42" t="e">
        <f t="shared" si="8"/>
        <v>#REF!</v>
      </c>
      <c r="J59" s="43" t="e">
        <f t="shared" si="12"/>
        <v>#REF!</v>
      </c>
      <c r="K59" s="43" t="e">
        <f t="shared" si="9"/>
        <v>#REF!</v>
      </c>
      <c r="L59" s="43" t="e">
        <f t="shared" si="10"/>
        <v>#REF!</v>
      </c>
      <c r="M59" s="44" t="e">
        <f t="shared" si="11"/>
        <v>#REF!</v>
      </c>
    </row>
    <row r="60" spans="1:13">
      <c r="A60" s="20"/>
      <c r="B60" s="21"/>
      <c r="C60" s="21"/>
      <c r="D60" s="1">
        <v>22</v>
      </c>
      <c r="E60" t="e">
        <f t="shared" si="4"/>
        <v>#REF!</v>
      </c>
      <c r="F60" s="40" t="e">
        <f t="shared" si="5"/>
        <v>#REF!</v>
      </c>
      <c r="G60" s="41" t="e">
        <f t="shared" si="6"/>
        <v>#REF!</v>
      </c>
      <c r="H60" s="42" t="e">
        <f t="shared" si="7"/>
        <v>#REF!</v>
      </c>
      <c r="I60" s="42" t="e">
        <f t="shared" si="8"/>
        <v>#REF!</v>
      </c>
      <c r="J60" s="43" t="e">
        <f t="shared" si="12"/>
        <v>#REF!</v>
      </c>
      <c r="K60" s="43" t="e">
        <f t="shared" si="9"/>
        <v>#REF!</v>
      </c>
      <c r="L60" s="43" t="e">
        <f t="shared" si="10"/>
        <v>#REF!</v>
      </c>
      <c r="M60" s="44" t="e">
        <f t="shared" si="11"/>
        <v>#REF!</v>
      </c>
    </row>
    <row r="61" spans="1:13">
      <c r="A61" s="1"/>
      <c r="B61" s="15"/>
      <c r="D61" s="1">
        <v>23</v>
      </c>
      <c r="E61" t="e">
        <f t="shared" si="4"/>
        <v>#REF!</v>
      </c>
      <c r="F61" s="40" t="e">
        <f t="shared" si="5"/>
        <v>#REF!</v>
      </c>
      <c r="G61" s="41" t="e">
        <f t="shared" si="6"/>
        <v>#REF!</v>
      </c>
      <c r="H61" s="42" t="e">
        <f t="shared" si="7"/>
        <v>#REF!</v>
      </c>
      <c r="I61" s="42" t="e">
        <f t="shared" si="8"/>
        <v>#REF!</v>
      </c>
      <c r="J61" s="43" t="e">
        <f t="shared" si="12"/>
        <v>#REF!</v>
      </c>
      <c r="K61" s="43" t="e">
        <f t="shared" si="9"/>
        <v>#REF!</v>
      </c>
      <c r="L61" s="43" t="e">
        <f t="shared" si="10"/>
        <v>#REF!</v>
      </c>
      <c r="M61" s="44" t="e">
        <f t="shared" si="11"/>
        <v>#REF!</v>
      </c>
    </row>
    <row r="62" spans="1:13">
      <c r="D62" s="1">
        <v>24</v>
      </c>
      <c r="E62" t="e">
        <f t="shared" si="4"/>
        <v>#REF!</v>
      </c>
      <c r="F62" s="40" t="e">
        <f t="shared" si="5"/>
        <v>#REF!</v>
      </c>
      <c r="G62" s="41" t="e">
        <f t="shared" si="6"/>
        <v>#REF!</v>
      </c>
      <c r="H62" s="42" t="e">
        <f t="shared" si="7"/>
        <v>#REF!</v>
      </c>
      <c r="I62" s="42" t="e">
        <f t="shared" si="8"/>
        <v>#REF!</v>
      </c>
      <c r="J62" s="43" t="e">
        <f t="shared" si="12"/>
        <v>#REF!</v>
      </c>
      <c r="K62" s="43" t="e">
        <f t="shared" si="9"/>
        <v>#REF!</v>
      </c>
      <c r="L62" s="43" t="e">
        <f t="shared" si="10"/>
        <v>#REF!</v>
      </c>
      <c r="M62" s="44" t="e">
        <f t="shared" si="11"/>
        <v>#REF!</v>
      </c>
    </row>
    <row r="63" spans="1:13">
      <c r="A63" s="32"/>
      <c r="B63" s="7"/>
      <c r="C63" s="15"/>
      <c r="D63" s="1">
        <v>25</v>
      </c>
      <c r="E63" t="e">
        <f t="shared" si="4"/>
        <v>#REF!</v>
      </c>
      <c r="F63" s="40" t="e">
        <f t="shared" si="5"/>
        <v>#REF!</v>
      </c>
      <c r="G63" s="41" t="e">
        <f t="shared" si="6"/>
        <v>#REF!</v>
      </c>
      <c r="H63" s="42" t="e">
        <f t="shared" si="7"/>
        <v>#REF!</v>
      </c>
      <c r="I63" s="42" t="e">
        <f t="shared" si="8"/>
        <v>#REF!</v>
      </c>
      <c r="J63" s="43" t="e">
        <f t="shared" si="12"/>
        <v>#REF!</v>
      </c>
      <c r="K63" s="43" t="e">
        <f t="shared" si="9"/>
        <v>#REF!</v>
      </c>
      <c r="L63" s="43" t="e">
        <f t="shared" si="10"/>
        <v>#REF!</v>
      </c>
      <c r="M63" s="44" t="e">
        <f t="shared" si="11"/>
        <v>#REF!</v>
      </c>
    </row>
    <row r="64" spans="1:13">
      <c r="D64" s="1">
        <v>26</v>
      </c>
      <c r="E64" t="e">
        <f t="shared" si="4"/>
        <v>#REF!</v>
      </c>
      <c r="F64" s="40" t="e">
        <f t="shared" si="5"/>
        <v>#REF!</v>
      </c>
      <c r="G64" s="41" t="e">
        <f t="shared" si="6"/>
        <v>#REF!</v>
      </c>
      <c r="H64" s="42" t="e">
        <f t="shared" si="7"/>
        <v>#REF!</v>
      </c>
      <c r="I64" s="42" t="e">
        <f t="shared" si="8"/>
        <v>#REF!</v>
      </c>
      <c r="J64" s="43" t="e">
        <f t="shared" si="12"/>
        <v>#REF!</v>
      </c>
      <c r="K64" s="43" t="e">
        <f t="shared" si="9"/>
        <v>#REF!</v>
      </c>
      <c r="L64" s="43" t="e">
        <f t="shared" si="10"/>
        <v>#REF!</v>
      </c>
      <c r="M64" s="44" t="e">
        <f t="shared" si="11"/>
        <v>#REF!</v>
      </c>
    </row>
    <row r="65" spans="3:13">
      <c r="C65" s="7"/>
      <c r="D65" s="1">
        <v>27</v>
      </c>
      <c r="E65" t="e">
        <f t="shared" si="4"/>
        <v>#REF!</v>
      </c>
      <c r="F65" s="40" t="e">
        <f t="shared" si="5"/>
        <v>#REF!</v>
      </c>
      <c r="G65" s="41" t="e">
        <f t="shared" si="6"/>
        <v>#REF!</v>
      </c>
      <c r="H65" s="42" t="e">
        <f t="shared" si="7"/>
        <v>#REF!</v>
      </c>
      <c r="I65" s="42" t="e">
        <f t="shared" si="8"/>
        <v>#REF!</v>
      </c>
      <c r="J65" s="43" t="e">
        <f t="shared" si="12"/>
        <v>#REF!</v>
      </c>
      <c r="K65" s="43" t="e">
        <f t="shared" si="9"/>
        <v>#REF!</v>
      </c>
      <c r="L65" s="43" t="e">
        <f t="shared" si="10"/>
        <v>#REF!</v>
      </c>
      <c r="M65" s="44" t="e">
        <f t="shared" si="11"/>
        <v>#REF!</v>
      </c>
    </row>
    <row r="66" spans="3:13">
      <c r="D66" s="1">
        <v>28</v>
      </c>
      <c r="E66" t="e">
        <f t="shared" si="4"/>
        <v>#REF!</v>
      </c>
      <c r="F66" s="40" t="e">
        <f t="shared" si="5"/>
        <v>#REF!</v>
      </c>
      <c r="G66" s="41" t="e">
        <f t="shared" si="6"/>
        <v>#REF!</v>
      </c>
      <c r="H66" s="42" t="e">
        <f t="shared" si="7"/>
        <v>#REF!</v>
      </c>
      <c r="I66" s="42" t="e">
        <f t="shared" si="8"/>
        <v>#REF!</v>
      </c>
      <c r="J66" s="43" t="e">
        <f t="shared" si="12"/>
        <v>#REF!</v>
      </c>
      <c r="K66" s="43" t="e">
        <f t="shared" si="9"/>
        <v>#REF!</v>
      </c>
      <c r="L66" s="43" t="e">
        <f t="shared" si="10"/>
        <v>#REF!</v>
      </c>
      <c r="M66" s="44" t="e">
        <f t="shared" si="11"/>
        <v>#REF!</v>
      </c>
    </row>
    <row r="67" spans="3:13">
      <c r="D67" s="1">
        <v>29</v>
      </c>
      <c r="E67" t="e">
        <f t="shared" si="4"/>
        <v>#REF!</v>
      </c>
      <c r="F67" s="40" t="e">
        <f t="shared" si="5"/>
        <v>#REF!</v>
      </c>
      <c r="G67" s="41" t="e">
        <f t="shared" si="6"/>
        <v>#REF!</v>
      </c>
      <c r="H67" s="42" t="e">
        <f t="shared" si="7"/>
        <v>#REF!</v>
      </c>
      <c r="I67" s="42" t="e">
        <f t="shared" si="8"/>
        <v>#REF!</v>
      </c>
      <c r="J67" s="43" t="e">
        <f t="shared" si="12"/>
        <v>#REF!</v>
      </c>
      <c r="K67" s="43" t="e">
        <f t="shared" si="9"/>
        <v>#REF!</v>
      </c>
      <c r="L67" s="43" t="e">
        <f t="shared" si="10"/>
        <v>#REF!</v>
      </c>
      <c r="M67" s="44" t="e">
        <f t="shared" si="11"/>
        <v>#REF!</v>
      </c>
    </row>
    <row r="68" spans="3:13">
      <c r="D68" s="1">
        <v>30</v>
      </c>
      <c r="E68" t="e">
        <f t="shared" si="4"/>
        <v>#REF!</v>
      </c>
      <c r="F68" s="40" t="e">
        <f t="shared" si="5"/>
        <v>#REF!</v>
      </c>
      <c r="G68" s="41" t="e">
        <f t="shared" si="6"/>
        <v>#REF!</v>
      </c>
      <c r="H68" s="42" t="e">
        <f t="shared" si="7"/>
        <v>#REF!</v>
      </c>
      <c r="I68" s="42" t="e">
        <f t="shared" si="8"/>
        <v>#REF!</v>
      </c>
      <c r="J68" s="43" t="e">
        <f t="shared" si="12"/>
        <v>#REF!</v>
      </c>
      <c r="K68" s="43" t="e">
        <f t="shared" si="9"/>
        <v>#REF!</v>
      </c>
      <c r="L68" s="43" t="e">
        <f t="shared" si="10"/>
        <v>#REF!</v>
      </c>
      <c r="M68" s="44" t="e">
        <f t="shared" si="11"/>
        <v>#REF!</v>
      </c>
    </row>
    <row r="69" spans="3:13">
      <c r="D69" s="1">
        <v>31</v>
      </c>
      <c r="E69" t="e">
        <f t="shared" si="4"/>
        <v>#REF!</v>
      </c>
      <c r="F69" s="40" t="e">
        <f t="shared" si="5"/>
        <v>#REF!</v>
      </c>
      <c r="G69" s="41" t="e">
        <f t="shared" si="6"/>
        <v>#REF!</v>
      </c>
      <c r="H69" s="42" t="e">
        <f t="shared" si="7"/>
        <v>#REF!</v>
      </c>
      <c r="I69" s="42" t="e">
        <f t="shared" si="8"/>
        <v>#REF!</v>
      </c>
      <c r="J69" s="43" t="e">
        <f t="shared" si="12"/>
        <v>#REF!</v>
      </c>
      <c r="K69" s="43" t="e">
        <f t="shared" si="9"/>
        <v>#REF!</v>
      </c>
      <c r="L69" s="43" t="e">
        <f t="shared" si="10"/>
        <v>#REF!</v>
      </c>
      <c r="M69" s="44" t="e">
        <f t="shared" si="11"/>
        <v>#REF!</v>
      </c>
    </row>
    <row r="70" spans="3:13">
      <c r="D70" s="1">
        <v>32</v>
      </c>
      <c r="E70" t="e">
        <f t="shared" si="4"/>
        <v>#REF!</v>
      </c>
      <c r="F70" s="40" t="e">
        <f t="shared" si="5"/>
        <v>#REF!</v>
      </c>
      <c r="G70" s="41" t="e">
        <f t="shared" si="6"/>
        <v>#REF!</v>
      </c>
      <c r="H70" s="42" t="e">
        <f t="shared" si="7"/>
        <v>#REF!</v>
      </c>
      <c r="I70" s="42" t="e">
        <f t="shared" si="8"/>
        <v>#REF!</v>
      </c>
      <c r="J70" s="43" t="e">
        <f t="shared" si="12"/>
        <v>#REF!</v>
      </c>
      <c r="K70" s="43" t="e">
        <f t="shared" si="9"/>
        <v>#REF!</v>
      </c>
      <c r="L70" s="43" t="e">
        <f t="shared" si="10"/>
        <v>#REF!</v>
      </c>
      <c r="M70" s="44" t="e">
        <f t="shared" si="11"/>
        <v>#REF!</v>
      </c>
    </row>
    <row r="71" spans="3:13">
      <c r="D71" s="1">
        <v>33</v>
      </c>
      <c r="E71" t="e">
        <f t="shared" ref="E71:E102" si="13">IF(AND(D71&gt;0,D71&lt;=N_years),1,0)</f>
        <v>#REF!</v>
      </c>
      <c r="F71" s="40" t="e">
        <f t="shared" si="5"/>
        <v>#REF!</v>
      </c>
      <c r="G71" s="41" t="e">
        <f t="shared" si="6"/>
        <v>#REF!</v>
      </c>
      <c r="H71" s="42" t="e">
        <f t="shared" si="7"/>
        <v>#REF!</v>
      </c>
      <c r="I71" s="42" t="e">
        <f t="shared" si="8"/>
        <v>#REF!</v>
      </c>
      <c r="J71" s="43" t="e">
        <f t="shared" si="12"/>
        <v>#REF!</v>
      </c>
      <c r="K71" s="43" t="e">
        <f t="shared" si="9"/>
        <v>#REF!</v>
      </c>
      <c r="L71" s="43" t="e">
        <f t="shared" si="10"/>
        <v>#REF!</v>
      </c>
      <c r="M71" s="44" t="e">
        <f t="shared" si="11"/>
        <v>#REF!</v>
      </c>
    </row>
    <row r="72" spans="3:13">
      <c r="D72" s="1">
        <v>34</v>
      </c>
      <c r="E72" t="e">
        <f t="shared" si="13"/>
        <v>#REF!</v>
      </c>
      <c r="F72" s="40" t="e">
        <f t="shared" si="5"/>
        <v>#REF!</v>
      </c>
      <c r="G72" s="41" t="e">
        <f t="shared" ref="G72:G108" si="14">IF(E72=1,E72*(G71*(1+growth)),"")</f>
        <v>#REF!</v>
      </c>
      <c r="H72" s="42" t="e">
        <f t="shared" ref="H72:H108" si="15">IF(E72=1,E72*(H71*(1+Old_ppp_inc)),"")</f>
        <v>#REF!</v>
      </c>
      <c r="I72" s="42" t="e">
        <f t="shared" ref="I72:I108" si="16">IF(E72=1,E72*(I71*(1+new_ppp_inc)),"")</f>
        <v>#REF!</v>
      </c>
      <c r="J72" s="43" t="e">
        <f t="shared" si="12"/>
        <v>#REF!</v>
      </c>
      <c r="K72" s="43" t="e">
        <f t="shared" ref="K72:K103" si="17">IF(E72=1,E72*(J72*DMULT^(F72-1)),"")</f>
        <v>#REF!</v>
      </c>
      <c r="L72" s="43" t="e">
        <f t="shared" ref="L72:L108" si="18">IF(E72=1,E72*(G72*(I72-CPP)),"")</f>
        <v>#REF!</v>
      </c>
      <c r="M72" s="44" t="e">
        <f t="shared" ref="M72:M103" si="19">IF(E72=1,E72*(L72*DMULT^(F72-1)),"")</f>
        <v>#REF!</v>
      </c>
    </row>
    <row r="73" spans="3:13">
      <c r="D73" s="1">
        <v>35</v>
      </c>
      <c r="E73" t="e">
        <f t="shared" si="13"/>
        <v>#REF!</v>
      </c>
      <c r="F73" s="40" t="e">
        <f t="shared" si="5"/>
        <v>#REF!</v>
      </c>
      <c r="G73" s="41" t="e">
        <f t="shared" si="14"/>
        <v>#REF!</v>
      </c>
      <c r="H73" s="42" t="e">
        <f t="shared" si="15"/>
        <v>#REF!</v>
      </c>
      <c r="I73" s="42" t="e">
        <f t="shared" si="16"/>
        <v>#REF!</v>
      </c>
      <c r="J73" s="43" t="e">
        <f t="shared" si="12"/>
        <v>#REF!</v>
      </c>
      <c r="K73" s="43" t="e">
        <f t="shared" si="17"/>
        <v>#REF!</v>
      </c>
      <c r="L73" s="43" t="e">
        <f t="shared" si="18"/>
        <v>#REF!</v>
      </c>
      <c r="M73" s="44" t="e">
        <f t="shared" si="19"/>
        <v>#REF!</v>
      </c>
    </row>
    <row r="74" spans="3:13">
      <c r="D74" s="1">
        <v>36</v>
      </c>
      <c r="E74" t="e">
        <f t="shared" si="13"/>
        <v>#REF!</v>
      </c>
      <c r="F74" s="40" t="e">
        <f t="shared" si="5"/>
        <v>#REF!</v>
      </c>
      <c r="G74" s="41" t="e">
        <f t="shared" si="14"/>
        <v>#REF!</v>
      </c>
      <c r="H74" s="42" t="e">
        <f t="shared" si="15"/>
        <v>#REF!</v>
      </c>
      <c r="I74" s="42" t="e">
        <f t="shared" si="16"/>
        <v>#REF!</v>
      </c>
      <c r="J74" s="43" t="e">
        <f t="shared" si="12"/>
        <v>#REF!</v>
      </c>
      <c r="K74" s="43" t="e">
        <f t="shared" si="17"/>
        <v>#REF!</v>
      </c>
      <c r="L74" s="43" t="e">
        <f t="shared" si="18"/>
        <v>#REF!</v>
      </c>
      <c r="M74" s="44" t="e">
        <f t="shared" si="19"/>
        <v>#REF!</v>
      </c>
    </row>
    <row r="75" spans="3:13">
      <c r="D75" s="1">
        <v>37</v>
      </c>
      <c r="E75" t="e">
        <f t="shared" si="13"/>
        <v>#REF!</v>
      </c>
      <c r="F75" s="40" t="e">
        <f t="shared" si="5"/>
        <v>#REF!</v>
      </c>
      <c r="G75" s="41" t="e">
        <f t="shared" si="14"/>
        <v>#REF!</v>
      </c>
      <c r="H75" s="42" t="e">
        <f t="shared" si="15"/>
        <v>#REF!</v>
      </c>
      <c r="I75" s="42" t="e">
        <f t="shared" si="16"/>
        <v>#REF!</v>
      </c>
      <c r="J75" s="43" t="e">
        <f t="shared" si="12"/>
        <v>#REF!</v>
      </c>
      <c r="K75" s="43" t="e">
        <f t="shared" si="17"/>
        <v>#REF!</v>
      </c>
      <c r="L75" s="43" t="e">
        <f t="shared" si="18"/>
        <v>#REF!</v>
      </c>
      <c r="M75" s="44" t="e">
        <f t="shared" si="19"/>
        <v>#REF!</v>
      </c>
    </row>
    <row r="76" spans="3:13">
      <c r="D76" s="1">
        <v>38</v>
      </c>
      <c r="E76" t="e">
        <f t="shared" si="13"/>
        <v>#REF!</v>
      </c>
      <c r="F76" s="40" t="e">
        <f t="shared" si="5"/>
        <v>#REF!</v>
      </c>
      <c r="G76" s="41" t="e">
        <f t="shared" si="14"/>
        <v>#REF!</v>
      </c>
      <c r="H76" s="42" t="e">
        <f t="shared" si="15"/>
        <v>#REF!</v>
      </c>
      <c r="I76" s="42" t="e">
        <f t="shared" si="16"/>
        <v>#REF!</v>
      </c>
      <c r="J76" s="43" t="e">
        <f t="shared" si="12"/>
        <v>#REF!</v>
      </c>
      <c r="K76" s="43" t="e">
        <f t="shared" si="17"/>
        <v>#REF!</v>
      </c>
      <c r="L76" s="43" t="e">
        <f t="shared" si="18"/>
        <v>#REF!</v>
      </c>
      <c r="M76" s="44" t="e">
        <f t="shared" si="19"/>
        <v>#REF!</v>
      </c>
    </row>
    <row r="77" spans="3:13">
      <c r="D77" s="1">
        <v>39</v>
      </c>
      <c r="E77" t="e">
        <f t="shared" si="13"/>
        <v>#REF!</v>
      </c>
      <c r="F77" s="40" t="e">
        <f t="shared" si="5"/>
        <v>#REF!</v>
      </c>
      <c r="G77" s="41" t="e">
        <f t="shared" si="14"/>
        <v>#REF!</v>
      </c>
      <c r="H77" s="42" t="e">
        <f t="shared" si="15"/>
        <v>#REF!</v>
      </c>
      <c r="I77" s="42" t="e">
        <f t="shared" si="16"/>
        <v>#REF!</v>
      </c>
      <c r="J77" s="43" t="e">
        <f t="shared" si="12"/>
        <v>#REF!</v>
      </c>
      <c r="K77" s="43" t="e">
        <f t="shared" si="17"/>
        <v>#REF!</v>
      </c>
      <c r="L77" s="43" t="e">
        <f t="shared" si="18"/>
        <v>#REF!</v>
      </c>
      <c r="M77" s="44" t="e">
        <f t="shared" si="19"/>
        <v>#REF!</v>
      </c>
    </row>
    <row r="78" spans="3:13">
      <c r="D78" s="1">
        <v>40</v>
      </c>
      <c r="E78" t="e">
        <f t="shared" si="13"/>
        <v>#REF!</v>
      </c>
      <c r="F78" s="40" t="e">
        <f t="shared" si="5"/>
        <v>#REF!</v>
      </c>
      <c r="G78" s="41" t="e">
        <f t="shared" si="14"/>
        <v>#REF!</v>
      </c>
      <c r="H78" s="42" t="e">
        <f t="shared" si="15"/>
        <v>#REF!</v>
      </c>
      <c r="I78" s="42" t="e">
        <f t="shared" si="16"/>
        <v>#REF!</v>
      </c>
      <c r="J78" s="43" t="e">
        <f t="shared" si="12"/>
        <v>#REF!</v>
      </c>
      <c r="K78" s="43" t="e">
        <f t="shared" si="17"/>
        <v>#REF!</v>
      </c>
      <c r="L78" s="43" t="e">
        <f t="shared" si="18"/>
        <v>#REF!</v>
      </c>
      <c r="M78" s="44" t="e">
        <f t="shared" si="19"/>
        <v>#REF!</v>
      </c>
    </row>
    <row r="79" spans="3:13">
      <c r="D79" s="1">
        <v>41</v>
      </c>
      <c r="E79" t="e">
        <f t="shared" si="13"/>
        <v>#REF!</v>
      </c>
      <c r="F79" s="40" t="e">
        <f t="shared" si="5"/>
        <v>#REF!</v>
      </c>
      <c r="G79" s="41" t="e">
        <f t="shared" si="14"/>
        <v>#REF!</v>
      </c>
      <c r="H79" s="42" t="e">
        <f t="shared" si="15"/>
        <v>#REF!</v>
      </c>
      <c r="I79" s="42" t="e">
        <f t="shared" si="16"/>
        <v>#REF!</v>
      </c>
      <c r="J79" s="43" t="e">
        <f t="shared" si="12"/>
        <v>#REF!</v>
      </c>
      <c r="K79" s="43" t="e">
        <f t="shared" si="17"/>
        <v>#REF!</v>
      </c>
      <c r="L79" s="43" t="e">
        <f t="shared" si="18"/>
        <v>#REF!</v>
      </c>
      <c r="M79" s="44" t="e">
        <f t="shared" si="19"/>
        <v>#REF!</v>
      </c>
    </row>
    <row r="80" spans="3:13">
      <c r="D80" s="1">
        <v>42</v>
      </c>
      <c r="E80" t="e">
        <f t="shared" si="13"/>
        <v>#REF!</v>
      </c>
      <c r="F80" s="40" t="e">
        <f t="shared" si="5"/>
        <v>#REF!</v>
      </c>
      <c r="G80" s="41" t="e">
        <f t="shared" si="14"/>
        <v>#REF!</v>
      </c>
      <c r="H80" s="42" t="e">
        <f t="shared" si="15"/>
        <v>#REF!</v>
      </c>
      <c r="I80" s="42" t="e">
        <f t="shared" si="16"/>
        <v>#REF!</v>
      </c>
      <c r="J80" s="43" t="e">
        <f t="shared" si="12"/>
        <v>#REF!</v>
      </c>
      <c r="K80" s="43" t="e">
        <f t="shared" si="17"/>
        <v>#REF!</v>
      </c>
      <c r="L80" s="43" t="e">
        <f t="shared" si="18"/>
        <v>#REF!</v>
      </c>
      <c r="M80" s="44" t="e">
        <f t="shared" si="19"/>
        <v>#REF!</v>
      </c>
    </row>
    <row r="81" spans="4:13">
      <c r="D81" s="1">
        <v>43</v>
      </c>
      <c r="E81" t="e">
        <f t="shared" si="13"/>
        <v>#REF!</v>
      </c>
      <c r="F81" s="40" t="e">
        <f t="shared" si="5"/>
        <v>#REF!</v>
      </c>
      <c r="G81" s="41" t="e">
        <f t="shared" si="14"/>
        <v>#REF!</v>
      </c>
      <c r="H81" s="42" t="e">
        <f t="shared" si="15"/>
        <v>#REF!</v>
      </c>
      <c r="I81" s="42" t="e">
        <f t="shared" si="16"/>
        <v>#REF!</v>
      </c>
      <c r="J81" s="43" t="e">
        <f t="shared" si="12"/>
        <v>#REF!</v>
      </c>
      <c r="K81" s="43" t="e">
        <f t="shared" si="17"/>
        <v>#REF!</v>
      </c>
      <c r="L81" s="43" t="e">
        <f t="shared" si="18"/>
        <v>#REF!</v>
      </c>
      <c r="M81" s="44" t="e">
        <f t="shared" si="19"/>
        <v>#REF!</v>
      </c>
    </row>
    <row r="82" spans="4:13">
      <c r="D82" s="1">
        <v>44</v>
      </c>
      <c r="E82" t="e">
        <f t="shared" si="13"/>
        <v>#REF!</v>
      </c>
      <c r="F82" s="40" t="e">
        <f t="shared" si="5"/>
        <v>#REF!</v>
      </c>
      <c r="G82" s="41" t="e">
        <f t="shared" si="14"/>
        <v>#REF!</v>
      </c>
      <c r="H82" s="42" t="e">
        <f t="shared" si="15"/>
        <v>#REF!</v>
      </c>
      <c r="I82" s="42" t="e">
        <f t="shared" si="16"/>
        <v>#REF!</v>
      </c>
      <c r="J82" s="43" t="e">
        <f t="shared" si="12"/>
        <v>#REF!</v>
      </c>
      <c r="K82" s="43" t="e">
        <f t="shared" si="17"/>
        <v>#REF!</v>
      </c>
      <c r="L82" s="43" t="e">
        <f t="shared" si="18"/>
        <v>#REF!</v>
      </c>
      <c r="M82" s="44" t="e">
        <f t="shared" si="19"/>
        <v>#REF!</v>
      </c>
    </row>
    <row r="83" spans="4:13">
      <c r="D83" s="1">
        <v>45</v>
      </c>
      <c r="E83" t="e">
        <f t="shared" si="13"/>
        <v>#REF!</v>
      </c>
      <c r="F83" s="40" t="e">
        <f t="shared" si="5"/>
        <v>#REF!</v>
      </c>
      <c r="G83" s="41" t="e">
        <f t="shared" si="14"/>
        <v>#REF!</v>
      </c>
      <c r="H83" s="42" t="e">
        <f t="shared" si="15"/>
        <v>#REF!</v>
      </c>
      <c r="I83" s="42" t="e">
        <f t="shared" si="16"/>
        <v>#REF!</v>
      </c>
      <c r="J83" s="43" t="e">
        <f t="shared" si="12"/>
        <v>#REF!</v>
      </c>
      <c r="K83" s="43" t="e">
        <f t="shared" si="17"/>
        <v>#REF!</v>
      </c>
      <c r="L83" s="43" t="e">
        <f t="shared" si="18"/>
        <v>#REF!</v>
      </c>
      <c r="M83" s="44" t="e">
        <f t="shared" si="19"/>
        <v>#REF!</v>
      </c>
    </row>
    <row r="84" spans="4:13">
      <c r="D84" s="1">
        <v>46</v>
      </c>
      <c r="E84" t="e">
        <f t="shared" si="13"/>
        <v>#REF!</v>
      </c>
      <c r="F84" s="40" t="e">
        <f t="shared" si="5"/>
        <v>#REF!</v>
      </c>
      <c r="G84" s="41" t="e">
        <f t="shared" si="14"/>
        <v>#REF!</v>
      </c>
      <c r="H84" s="42" t="e">
        <f t="shared" si="15"/>
        <v>#REF!</v>
      </c>
      <c r="I84" s="42" t="e">
        <f t="shared" si="16"/>
        <v>#REF!</v>
      </c>
      <c r="J84" s="43" t="e">
        <f t="shared" si="12"/>
        <v>#REF!</v>
      </c>
      <c r="K84" s="43" t="e">
        <f t="shared" si="17"/>
        <v>#REF!</v>
      </c>
      <c r="L84" s="43" t="e">
        <f t="shared" si="18"/>
        <v>#REF!</v>
      </c>
      <c r="M84" s="44" t="e">
        <f t="shared" si="19"/>
        <v>#REF!</v>
      </c>
    </row>
    <row r="85" spans="4:13">
      <c r="D85" s="1">
        <v>47</v>
      </c>
      <c r="E85" t="e">
        <f t="shared" si="13"/>
        <v>#REF!</v>
      </c>
      <c r="F85" s="40" t="e">
        <f t="shared" si="5"/>
        <v>#REF!</v>
      </c>
      <c r="G85" s="41" t="e">
        <f t="shared" si="14"/>
        <v>#REF!</v>
      </c>
      <c r="H85" s="42" t="e">
        <f t="shared" si="15"/>
        <v>#REF!</v>
      </c>
      <c r="I85" s="42" t="e">
        <f t="shared" si="16"/>
        <v>#REF!</v>
      </c>
      <c r="J85" s="43" t="e">
        <f t="shared" si="12"/>
        <v>#REF!</v>
      </c>
      <c r="K85" s="43" t="e">
        <f t="shared" si="17"/>
        <v>#REF!</v>
      </c>
      <c r="L85" s="43" t="e">
        <f t="shared" si="18"/>
        <v>#REF!</v>
      </c>
      <c r="M85" s="44" t="e">
        <f t="shared" si="19"/>
        <v>#REF!</v>
      </c>
    </row>
    <row r="86" spans="4:13">
      <c r="D86" s="1">
        <v>48</v>
      </c>
      <c r="E86" t="e">
        <f t="shared" si="13"/>
        <v>#REF!</v>
      </c>
      <c r="F86" s="40" t="e">
        <f t="shared" si="5"/>
        <v>#REF!</v>
      </c>
      <c r="G86" s="41" t="e">
        <f t="shared" si="14"/>
        <v>#REF!</v>
      </c>
      <c r="H86" s="42" t="e">
        <f t="shared" si="15"/>
        <v>#REF!</v>
      </c>
      <c r="I86" s="42" t="e">
        <f t="shared" si="16"/>
        <v>#REF!</v>
      </c>
      <c r="J86" s="43" t="e">
        <f t="shared" si="12"/>
        <v>#REF!</v>
      </c>
      <c r="K86" s="43" t="e">
        <f t="shared" si="17"/>
        <v>#REF!</v>
      </c>
      <c r="L86" s="43" t="e">
        <f t="shared" si="18"/>
        <v>#REF!</v>
      </c>
      <c r="M86" s="44" t="e">
        <f t="shared" si="19"/>
        <v>#REF!</v>
      </c>
    </row>
    <row r="87" spans="4:13">
      <c r="D87" s="1">
        <v>49</v>
      </c>
      <c r="E87" t="e">
        <f t="shared" si="13"/>
        <v>#REF!</v>
      </c>
      <c r="F87" s="40" t="e">
        <f t="shared" si="5"/>
        <v>#REF!</v>
      </c>
      <c r="G87" s="41" t="e">
        <f t="shared" si="14"/>
        <v>#REF!</v>
      </c>
      <c r="H87" s="42" t="e">
        <f t="shared" si="15"/>
        <v>#REF!</v>
      </c>
      <c r="I87" s="42" t="e">
        <f t="shared" si="16"/>
        <v>#REF!</v>
      </c>
      <c r="J87" s="43" t="e">
        <f t="shared" si="12"/>
        <v>#REF!</v>
      </c>
      <c r="K87" s="43" t="e">
        <f t="shared" si="17"/>
        <v>#REF!</v>
      </c>
      <c r="L87" s="43" t="e">
        <f t="shared" si="18"/>
        <v>#REF!</v>
      </c>
      <c r="M87" s="44" t="e">
        <f t="shared" si="19"/>
        <v>#REF!</v>
      </c>
    </row>
    <row r="88" spans="4:13">
      <c r="D88" s="1">
        <v>50</v>
      </c>
      <c r="E88" t="e">
        <f t="shared" si="13"/>
        <v>#REF!</v>
      </c>
      <c r="F88" s="40" t="e">
        <f t="shared" si="5"/>
        <v>#REF!</v>
      </c>
      <c r="G88" s="41" t="e">
        <f t="shared" si="14"/>
        <v>#REF!</v>
      </c>
      <c r="H88" s="42" t="e">
        <f t="shared" si="15"/>
        <v>#REF!</v>
      </c>
      <c r="I88" s="42" t="e">
        <f t="shared" si="16"/>
        <v>#REF!</v>
      </c>
      <c r="J88" s="43" t="e">
        <f t="shared" si="12"/>
        <v>#REF!</v>
      </c>
      <c r="K88" s="43" t="e">
        <f t="shared" si="17"/>
        <v>#REF!</v>
      </c>
      <c r="L88" s="43" t="e">
        <f t="shared" si="18"/>
        <v>#REF!</v>
      </c>
      <c r="M88" s="44" t="e">
        <f t="shared" si="19"/>
        <v>#REF!</v>
      </c>
    </row>
    <row r="89" spans="4:13">
      <c r="D89" s="1">
        <v>51</v>
      </c>
      <c r="E89" t="e">
        <f t="shared" si="13"/>
        <v>#REF!</v>
      </c>
      <c r="F89" s="40" t="e">
        <f t="shared" si="5"/>
        <v>#REF!</v>
      </c>
      <c r="G89" s="41" t="e">
        <f t="shared" si="14"/>
        <v>#REF!</v>
      </c>
      <c r="H89" s="42" t="e">
        <f t="shared" si="15"/>
        <v>#REF!</v>
      </c>
      <c r="I89" s="42" t="e">
        <f t="shared" si="16"/>
        <v>#REF!</v>
      </c>
      <c r="J89" s="43" t="e">
        <f t="shared" si="12"/>
        <v>#REF!</v>
      </c>
      <c r="K89" s="43" t="e">
        <f t="shared" si="17"/>
        <v>#REF!</v>
      </c>
      <c r="L89" s="43" t="e">
        <f t="shared" si="18"/>
        <v>#REF!</v>
      </c>
      <c r="M89" s="44" t="e">
        <f t="shared" si="19"/>
        <v>#REF!</v>
      </c>
    </row>
    <row r="90" spans="4:13">
      <c r="D90" s="1">
        <v>52</v>
      </c>
      <c r="E90" t="e">
        <f t="shared" si="13"/>
        <v>#REF!</v>
      </c>
      <c r="F90" s="40" t="e">
        <f t="shared" si="5"/>
        <v>#REF!</v>
      </c>
      <c r="G90" s="41" t="e">
        <f t="shared" si="14"/>
        <v>#REF!</v>
      </c>
      <c r="H90" s="42" t="e">
        <f t="shared" si="15"/>
        <v>#REF!</v>
      </c>
      <c r="I90" s="42" t="e">
        <f t="shared" si="16"/>
        <v>#REF!</v>
      </c>
      <c r="J90" s="43" t="e">
        <f t="shared" si="12"/>
        <v>#REF!</v>
      </c>
      <c r="K90" s="43" t="e">
        <f t="shared" si="17"/>
        <v>#REF!</v>
      </c>
      <c r="L90" s="43" t="e">
        <f t="shared" si="18"/>
        <v>#REF!</v>
      </c>
      <c r="M90" s="44" t="e">
        <f t="shared" si="19"/>
        <v>#REF!</v>
      </c>
    </row>
    <row r="91" spans="4:13">
      <c r="D91" s="1">
        <v>53</v>
      </c>
      <c r="E91" t="e">
        <f t="shared" si="13"/>
        <v>#REF!</v>
      </c>
      <c r="F91" s="40" t="e">
        <f t="shared" si="5"/>
        <v>#REF!</v>
      </c>
      <c r="G91" s="41" t="e">
        <f t="shared" si="14"/>
        <v>#REF!</v>
      </c>
      <c r="H91" s="42" t="e">
        <f t="shared" si="15"/>
        <v>#REF!</v>
      </c>
      <c r="I91" s="42" t="e">
        <f t="shared" si="16"/>
        <v>#REF!</v>
      </c>
      <c r="J91" s="43" t="e">
        <f t="shared" si="12"/>
        <v>#REF!</v>
      </c>
      <c r="K91" s="43" t="e">
        <f t="shared" si="17"/>
        <v>#REF!</v>
      </c>
      <c r="L91" s="43" t="e">
        <f t="shared" si="18"/>
        <v>#REF!</v>
      </c>
      <c r="M91" s="44" t="e">
        <f t="shared" si="19"/>
        <v>#REF!</v>
      </c>
    </row>
    <row r="92" spans="4:13">
      <c r="D92" s="1">
        <v>54</v>
      </c>
      <c r="E92" t="e">
        <f t="shared" si="13"/>
        <v>#REF!</v>
      </c>
      <c r="F92" s="40" t="e">
        <f t="shared" si="5"/>
        <v>#REF!</v>
      </c>
      <c r="G92" s="41" t="e">
        <f t="shared" si="14"/>
        <v>#REF!</v>
      </c>
      <c r="H92" s="42" t="e">
        <f t="shared" si="15"/>
        <v>#REF!</v>
      </c>
      <c r="I92" s="42" t="e">
        <f t="shared" si="16"/>
        <v>#REF!</v>
      </c>
      <c r="J92" s="43" t="e">
        <f t="shared" si="12"/>
        <v>#REF!</v>
      </c>
      <c r="K92" s="43" t="e">
        <f t="shared" si="17"/>
        <v>#REF!</v>
      </c>
      <c r="L92" s="43" t="e">
        <f t="shared" si="18"/>
        <v>#REF!</v>
      </c>
      <c r="M92" s="44" t="e">
        <f t="shared" si="19"/>
        <v>#REF!</v>
      </c>
    </row>
    <row r="93" spans="4:13">
      <c r="D93" s="1">
        <v>55</v>
      </c>
      <c r="E93" t="e">
        <f t="shared" si="13"/>
        <v>#REF!</v>
      </c>
      <c r="F93" s="40" t="e">
        <f t="shared" si="5"/>
        <v>#REF!</v>
      </c>
      <c r="G93" s="41" t="e">
        <f t="shared" si="14"/>
        <v>#REF!</v>
      </c>
      <c r="H93" s="42" t="e">
        <f t="shared" si="15"/>
        <v>#REF!</v>
      </c>
      <c r="I93" s="42" t="e">
        <f t="shared" si="16"/>
        <v>#REF!</v>
      </c>
      <c r="J93" s="43" t="e">
        <f t="shared" si="12"/>
        <v>#REF!</v>
      </c>
      <c r="K93" s="43" t="e">
        <f t="shared" si="17"/>
        <v>#REF!</v>
      </c>
      <c r="L93" s="43" t="e">
        <f t="shared" si="18"/>
        <v>#REF!</v>
      </c>
      <c r="M93" s="44" t="e">
        <f t="shared" si="19"/>
        <v>#REF!</v>
      </c>
    </row>
    <row r="94" spans="4:13">
      <c r="D94" s="1">
        <v>56</v>
      </c>
      <c r="E94" t="e">
        <f t="shared" si="13"/>
        <v>#REF!</v>
      </c>
      <c r="F94" s="40" t="e">
        <f t="shared" si="5"/>
        <v>#REF!</v>
      </c>
      <c r="G94" s="41" t="e">
        <f t="shared" si="14"/>
        <v>#REF!</v>
      </c>
      <c r="H94" s="42" t="e">
        <f t="shared" si="15"/>
        <v>#REF!</v>
      </c>
      <c r="I94" s="42" t="e">
        <f t="shared" si="16"/>
        <v>#REF!</v>
      </c>
      <c r="J94" s="43" t="e">
        <f t="shared" si="12"/>
        <v>#REF!</v>
      </c>
      <c r="K94" s="43" t="e">
        <f t="shared" si="17"/>
        <v>#REF!</v>
      </c>
      <c r="L94" s="43" t="e">
        <f t="shared" si="18"/>
        <v>#REF!</v>
      </c>
      <c r="M94" s="44" t="e">
        <f t="shared" si="19"/>
        <v>#REF!</v>
      </c>
    </row>
    <row r="95" spans="4:13">
      <c r="D95" s="1">
        <v>57</v>
      </c>
      <c r="E95" t="e">
        <f t="shared" si="13"/>
        <v>#REF!</v>
      </c>
      <c r="F95" s="40" t="e">
        <f t="shared" si="5"/>
        <v>#REF!</v>
      </c>
      <c r="G95" s="41" t="e">
        <f t="shared" si="14"/>
        <v>#REF!</v>
      </c>
      <c r="H95" s="42" t="e">
        <f t="shared" si="15"/>
        <v>#REF!</v>
      </c>
      <c r="I95" s="42" t="e">
        <f t="shared" si="16"/>
        <v>#REF!</v>
      </c>
      <c r="J95" s="43" t="e">
        <f t="shared" si="12"/>
        <v>#REF!</v>
      </c>
      <c r="K95" s="43" t="e">
        <f t="shared" si="17"/>
        <v>#REF!</v>
      </c>
      <c r="L95" s="43" t="e">
        <f t="shared" si="18"/>
        <v>#REF!</v>
      </c>
      <c r="M95" s="44" t="e">
        <f t="shared" si="19"/>
        <v>#REF!</v>
      </c>
    </row>
    <row r="96" spans="4:13">
      <c r="D96" s="1">
        <v>58</v>
      </c>
      <c r="E96" t="e">
        <f t="shared" si="13"/>
        <v>#REF!</v>
      </c>
      <c r="F96" s="40" t="e">
        <f t="shared" si="5"/>
        <v>#REF!</v>
      </c>
      <c r="G96" s="41" t="e">
        <f t="shared" si="14"/>
        <v>#REF!</v>
      </c>
      <c r="H96" s="42" t="e">
        <f t="shared" si="15"/>
        <v>#REF!</v>
      </c>
      <c r="I96" s="42" t="e">
        <f t="shared" si="16"/>
        <v>#REF!</v>
      </c>
      <c r="J96" s="43" t="e">
        <f t="shared" si="12"/>
        <v>#REF!</v>
      </c>
      <c r="K96" s="43" t="e">
        <f t="shared" si="17"/>
        <v>#REF!</v>
      </c>
      <c r="L96" s="43" t="e">
        <f t="shared" si="18"/>
        <v>#REF!</v>
      </c>
      <c r="M96" s="44" t="e">
        <f t="shared" si="19"/>
        <v>#REF!</v>
      </c>
    </row>
    <row r="97" spans="4:13">
      <c r="D97" s="1">
        <v>59</v>
      </c>
      <c r="E97" t="e">
        <f t="shared" si="13"/>
        <v>#REF!</v>
      </c>
      <c r="F97" s="40" t="e">
        <f t="shared" si="5"/>
        <v>#REF!</v>
      </c>
      <c r="G97" s="41" t="e">
        <f t="shared" si="14"/>
        <v>#REF!</v>
      </c>
      <c r="H97" s="42" t="e">
        <f t="shared" si="15"/>
        <v>#REF!</v>
      </c>
      <c r="I97" s="42" t="e">
        <f t="shared" si="16"/>
        <v>#REF!</v>
      </c>
      <c r="J97" s="43" t="e">
        <f t="shared" si="12"/>
        <v>#REF!</v>
      </c>
      <c r="K97" s="43" t="e">
        <f t="shared" si="17"/>
        <v>#REF!</v>
      </c>
      <c r="L97" s="43" t="e">
        <f t="shared" si="18"/>
        <v>#REF!</v>
      </c>
      <c r="M97" s="44" t="e">
        <f t="shared" si="19"/>
        <v>#REF!</v>
      </c>
    </row>
    <row r="98" spans="4:13">
      <c r="D98" s="1">
        <v>60</v>
      </c>
      <c r="E98" t="e">
        <f t="shared" si="13"/>
        <v>#REF!</v>
      </c>
      <c r="F98" s="40" t="e">
        <f t="shared" si="5"/>
        <v>#REF!</v>
      </c>
      <c r="G98" s="41" t="e">
        <f t="shared" si="14"/>
        <v>#REF!</v>
      </c>
      <c r="H98" s="42" t="e">
        <f t="shared" si="15"/>
        <v>#REF!</v>
      </c>
      <c r="I98" s="42" t="e">
        <f t="shared" si="16"/>
        <v>#REF!</v>
      </c>
      <c r="J98" s="43" t="e">
        <f t="shared" si="12"/>
        <v>#REF!</v>
      </c>
      <c r="K98" s="43" t="e">
        <f t="shared" si="17"/>
        <v>#REF!</v>
      </c>
      <c r="L98" s="43" t="e">
        <f t="shared" si="18"/>
        <v>#REF!</v>
      </c>
      <c r="M98" s="44" t="e">
        <f t="shared" si="19"/>
        <v>#REF!</v>
      </c>
    </row>
    <row r="99" spans="4:13">
      <c r="D99" s="1">
        <v>61</v>
      </c>
      <c r="E99" t="e">
        <f t="shared" si="13"/>
        <v>#REF!</v>
      </c>
      <c r="F99" s="40" t="e">
        <f t="shared" si="5"/>
        <v>#REF!</v>
      </c>
      <c r="G99" s="41" t="e">
        <f t="shared" si="14"/>
        <v>#REF!</v>
      </c>
      <c r="H99" s="42" t="e">
        <f t="shared" si="15"/>
        <v>#REF!</v>
      </c>
      <c r="I99" s="42" t="e">
        <f t="shared" si="16"/>
        <v>#REF!</v>
      </c>
      <c r="J99" s="43" t="e">
        <f t="shared" si="12"/>
        <v>#REF!</v>
      </c>
      <c r="K99" s="43" t="e">
        <f t="shared" si="17"/>
        <v>#REF!</v>
      </c>
      <c r="L99" s="43" t="e">
        <f t="shared" si="18"/>
        <v>#REF!</v>
      </c>
      <c r="M99" s="44" t="e">
        <f t="shared" si="19"/>
        <v>#REF!</v>
      </c>
    </row>
    <row r="100" spans="4:13">
      <c r="D100" s="1">
        <v>62</v>
      </c>
      <c r="E100" t="e">
        <f t="shared" si="13"/>
        <v>#REF!</v>
      </c>
      <c r="F100" s="40" t="e">
        <f t="shared" si="5"/>
        <v>#REF!</v>
      </c>
      <c r="G100" s="41" t="e">
        <f t="shared" si="14"/>
        <v>#REF!</v>
      </c>
      <c r="H100" s="42" t="e">
        <f t="shared" si="15"/>
        <v>#REF!</v>
      </c>
      <c r="I100" s="42" t="e">
        <f t="shared" si="16"/>
        <v>#REF!</v>
      </c>
      <c r="J100" s="43" t="e">
        <f t="shared" si="12"/>
        <v>#REF!</v>
      </c>
      <c r="K100" s="43" t="e">
        <f t="shared" si="17"/>
        <v>#REF!</v>
      </c>
      <c r="L100" s="43" t="e">
        <f t="shared" si="18"/>
        <v>#REF!</v>
      </c>
      <c r="M100" s="44" t="e">
        <f t="shared" si="19"/>
        <v>#REF!</v>
      </c>
    </row>
    <row r="101" spans="4:13">
      <c r="D101" s="1">
        <v>63</v>
      </c>
      <c r="E101" t="e">
        <f t="shared" si="13"/>
        <v>#REF!</v>
      </c>
      <c r="F101" s="40" t="e">
        <f t="shared" si="5"/>
        <v>#REF!</v>
      </c>
      <c r="G101" s="41" t="e">
        <f t="shared" si="14"/>
        <v>#REF!</v>
      </c>
      <c r="H101" s="42" t="e">
        <f t="shared" si="15"/>
        <v>#REF!</v>
      </c>
      <c r="I101" s="42" t="e">
        <f t="shared" si="16"/>
        <v>#REF!</v>
      </c>
      <c r="J101" s="43" t="e">
        <f t="shared" si="12"/>
        <v>#REF!</v>
      </c>
      <c r="K101" s="43" t="e">
        <f t="shared" si="17"/>
        <v>#REF!</v>
      </c>
      <c r="L101" s="43" t="e">
        <f t="shared" si="18"/>
        <v>#REF!</v>
      </c>
      <c r="M101" s="44" t="e">
        <f t="shared" si="19"/>
        <v>#REF!</v>
      </c>
    </row>
    <row r="102" spans="4:13">
      <c r="D102" s="1">
        <v>64</v>
      </c>
      <c r="E102" t="e">
        <f t="shared" si="13"/>
        <v>#REF!</v>
      </c>
      <c r="F102" s="40" t="e">
        <f t="shared" si="5"/>
        <v>#REF!</v>
      </c>
      <c r="G102" s="41" t="e">
        <f t="shared" si="14"/>
        <v>#REF!</v>
      </c>
      <c r="H102" s="42" t="e">
        <f t="shared" si="15"/>
        <v>#REF!</v>
      </c>
      <c r="I102" s="42" t="e">
        <f t="shared" si="16"/>
        <v>#REF!</v>
      </c>
      <c r="J102" s="43" t="e">
        <f t="shared" si="12"/>
        <v>#REF!</v>
      </c>
      <c r="K102" s="43" t="e">
        <f t="shared" si="17"/>
        <v>#REF!</v>
      </c>
      <c r="L102" s="43" t="e">
        <f t="shared" si="18"/>
        <v>#REF!</v>
      </c>
      <c r="M102" s="44" t="e">
        <f t="shared" si="19"/>
        <v>#REF!</v>
      </c>
    </row>
    <row r="103" spans="4:13">
      <c r="D103" s="1">
        <v>65</v>
      </c>
      <c r="E103" t="e">
        <f t="shared" ref="E103:E108" si="20">IF(AND(D103&gt;0,D103&lt;=N_years),1,0)</f>
        <v>#REF!</v>
      </c>
      <c r="F103" s="40" t="e">
        <f t="shared" si="5"/>
        <v>#REF!</v>
      </c>
      <c r="G103" s="41" t="e">
        <f t="shared" si="14"/>
        <v>#REF!</v>
      </c>
      <c r="H103" s="42" t="e">
        <f t="shared" si="15"/>
        <v>#REF!</v>
      </c>
      <c r="I103" s="42" t="e">
        <f t="shared" si="16"/>
        <v>#REF!</v>
      </c>
      <c r="J103" s="43" t="e">
        <f t="shared" si="12"/>
        <v>#REF!</v>
      </c>
      <c r="K103" s="43" t="e">
        <f t="shared" si="17"/>
        <v>#REF!</v>
      </c>
      <c r="L103" s="43" t="e">
        <f t="shared" si="18"/>
        <v>#REF!</v>
      </c>
      <c r="M103" s="44" t="e">
        <f t="shared" si="19"/>
        <v>#REF!</v>
      </c>
    </row>
    <row r="104" spans="4:13">
      <c r="D104" s="1">
        <v>66</v>
      </c>
      <c r="E104" t="e">
        <f t="shared" si="20"/>
        <v>#REF!</v>
      </c>
      <c r="F104" s="40" t="e">
        <f>IF(E104=1,D104,"")</f>
        <v>#REF!</v>
      </c>
      <c r="G104" s="41" t="e">
        <f t="shared" si="14"/>
        <v>#REF!</v>
      </c>
      <c r="H104" s="42" t="e">
        <f t="shared" si="15"/>
        <v>#REF!</v>
      </c>
      <c r="I104" s="42" t="e">
        <f t="shared" si="16"/>
        <v>#REF!</v>
      </c>
      <c r="J104" s="43" t="e">
        <f t="shared" si="12"/>
        <v>#REF!</v>
      </c>
      <c r="K104" s="43" t="e">
        <f>IF(E104=1,E104*(J104*DMULT^(F104-1)),"")</f>
        <v>#REF!</v>
      </c>
      <c r="L104" s="43" t="e">
        <f t="shared" si="18"/>
        <v>#REF!</v>
      </c>
      <c r="M104" s="44" t="e">
        <f>IF(E104=1,E104*(L104*DMULT^(F104-1)),"")</f>
        <v>#REF!</v>
      </c>
    </row>
    <row r="105" spans="4:13">
      <c r="D105" s="1">
        <v>67</v>
      </c>
      <c r="E105" t="e">
        <f t="shared" si="20"/>
        <v>#REF!</v>
      </c>
      <c r="F105" s="40" t="e">
        <f>IF(E105=1,D105,"")</f>
        <v>#REF!</v>
      </c>
      <c r="G105" s="41" t="e">
        <f t="shared" si="14"/>
        <v>#REF!</v>
      </c>
      <c r="H105" s="42" t="e">
        <f t="shared" si="15"/>
        <v>#REF!</v>
      </c>
      <c r="I105" s="42" t="e">
        <f t="shared" si="16"/>
        <v>#REF!</v>
      </c>
      <c r="J105" s="43" t="e">
        <f>IF(E105=1,E105*(G105*(H105-I105)),"")</f>
        <v>#REF!</v>
      </c>
      <c r="K105" s="43" t="e">
        <f>IF(E105=1,E105*(J105*DMULT^(F105-1)),"")</f>
        <v>#REF!</v>
      </c>
      <c r="L105" s="43" t="e">
        <f t="shared" si="18"/>
        <v>#REF!</v>
      </c>
      <c r="M105" s="44" t="e">
        <f>IF(E105=1,E105*(L105*DMULT^(F105-1)),"")</f>
        <v>#REF!</v>
      </c>
    </row>
    <row r="106" spans="4:13">
      <c r="D106" s="1">
        <v>68</v>
      </c>
      <c r="E106" t="e">
        <f t="shared" si="20"/>
        <v>#REF!</v>
      </c>
      <c r="F106" s="40" t="e">
        <f>IF(E106=1,D106,"")</f>
        <v>#REF!</v>
      </c>
      <c r="G106" s="41" t="e">
        <f t="shared" si="14"/>
        <v>#REF!</v>
      </c>
      <c r="H106" s="42" t="e">
        <f t="shared" si="15"/>
        <v>#REF!</v>
      </c>
      <c r="I106" s="42" t="e">
        <f t="shared" si="16"/>
        <v>#REF!</v>
      </c>
      <c r="J106" s="43" t="e">
        <f>IF(E106=1,E106*(G106*(H106-I106)),"")</f>
        <v>#REF!</v>
      </c>
      <c r="K106" s="43" t="e">
        <f>IF(E106=1,E106*(J106*DMULT^(F106-1)),"")</f>
        <v>#REF!</v>
      </c>
      <c r="L106" s="43" t="e">
        <f t="shared" si="18"/>
        <v>#REF!</v>
      </c>
      <c r="M106" s="44" t="e">
        <f>IF(E106=1,E106*(L106*DMULT^(F106-1)),"")</f>
        <v>#REF!</v>
      </c>
    </row>
    <row r="107" spans="4:13">
      <c r="D107" s="1">
        <v>69</v>
      </c>
      <c r="E107" t="e">
        <f t="shared" si="20"/>
        <v>#REF!</v>
      </c>
      <c r="F107" s="40" t="e">
        <f>IF(E107=1,D107,"")</f>
        <v>#REF!</v>
      </c>
      <c r="G107" s="41" t="e">
        <f t="shared" si="14"/>
        <v>#REF!</v>
      </c>
      <c r="H107" s="42" t="e">
        <f t="shared" si="15"/>
        <v>#REF!</v>
      </c>
      <c r="I107" s="42" t="e">
        <f t="shared" si="16"/>
        <v>#REF!</v>
      </c>
      <c r="J107" s="43" t="e">
        <f>IF(E107=1,E107*(G107*(H107-I107)),"")</f>
        <v>#REF!</v>
      </c>
      <c r="K107" s="43" t="e">
        <f>IF(E107=1,E107*(J107*DMULT^(F107-1)),"")</f>
        <v>#REF!</v>
      </c>
      <c r="L107" s="43" t="e">
        <f t="shared" si="18"/>
        <v>#REF!</v>
      </c>
      <c r="M107" s="44" t="e">
        <f>IF(E107=1,E107*(L107*DMULT^(F107-1)),"")</f>
        <v>#REF!</v>
      </c>
    </row>
    <row r="108" spans="4:13">
      <c r="D108" s="1">
        <v>70</v>
      </c>
      <c r="E108" t="e">
        <f t="shared" si="20"/>
        <v>#REF!</v>
      </c>
      <c r="F108" s="40" t="e">
        <f>IF(E108=1,D108,"")</f>
        <v>#REF!</v>
      </c>
      <c r="G108" s="41" t="e">
        <f t="shared" si="14"/>
        <v>#REF!</v>
      </c>
      <c r="H108" s="42" t="e">
        <f t="shared" si="15"/>
        <v>#REF!</v>
      </c>
      <c r="I108" s="42" t="e">
        <f t="shared" si="16"/>
        <v>#REF!</v>
      </c>
      <c r="J108" s="43" t="e">
        <f>IF(E108=1,E108*(G108*(H108-I108)),"")</f>
        <v>#REF!</v>
      </c>
      <c r="K108" s="43" t="e">
        <f>IF(E108=1,E108*(J108*DMULT^(F108-1)),"")</f>
        <v>#REF!</v>
      </c>
      <c r="L108" s="43" t="e">
        <f t="shared" si="18"/>
        <v>#REF!</v>
      </c>
      <c r="M108" s="44" t="e">
        <f>IF(E108=1,E108*(L108*DMULT^(F108-1)),"")</f>
        <v>#REF!</v>
      </c>
    </row>
  </sheetData>
  <phoneticPr fontId="5" type="noConversion"/>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6" baseType="variant">
      <vt:variant>
        <vt:lpstr>Worksheets</vt:lpstr>
      </vt:variant>
      <vt:variant>
        <vt:i4>6</vt:i4>
      </vt:variant>
      <vt:variant>
        <vt:lpstr>Charts</vt:lpstr>
      </vt:variant>
      <vt:variant>
        <vt:i4>2</vt:i4>
      </vt:variant>
      <vt:variant>
        <vt:lpstr>Named Ranges</vt:lpstr>
      </vt:variant>
      <vt:variant>
        <vt:i4>28</vt:i4>
      </vt:variant>
    </vt:vector>
  </HeadingPairs>
  <TitlesOfParts>
    <vt:vector size="36" baseType="lpstr">
      <vt:lpstr>Overview</vt:lpstr>
      <vt:lpstr>ADBUDG Model</vt:lpstr>
      <vt:lpstr>Introduction</vt:lpstr>
      <vt:lpstr>Calibration</vt:lpstr>
      <vt:lpstr>Forecasting</vt:lpstr>
      <vt:lpstr>ME_value-in-use_hidden</vt:lpstr>
      <vt:lpstr>Advertising and Share</vt:lpstr>
      <vt:lpstr>Contribution</vt:lpstr>
      <vt:lpstr>A_upperBound</vt:lpstr>
      <vt:lpstr>Forecasting!AvePrice</vt:lpstr>
      <vt:lpstr>B_LowerBound</vt:lpstr>
      <vt:lpstr>Forecasting!c_</vt:lpstr>
      <vt:lpstr>C_S_Shape</vt:lpstr>
      <vt:lpstr>Forecasting!Contribution</vt:lpstr>
      <vt:lpstr>Forecasting!Copy</vt:lpstr>
      <vt:lpstr>CPP</vt:lpstr>
      <vt:lpstr>Forecasting!d</vt:lpstr>
      <vt:lpstr>d_rate</vt:lpstr>
      <vt:lpstr>DMULT</vt:lpstr>
      <vt:lpstr>growth</vt:lpstr>
      <vt:lpstr>LRMin</vt:lpstr>
      <vt:lpstr>Forecasting!Max</vt:lpstr>
      <vt:lpstr>MCOST</vt:lpstr>
      <vt:lpstr>Forecasting!Media</vt:lpstr>
      <vt:lpstr>Forecasting!Min</vt:lpstr>
      <vt:lpstr>MPRICE</vt:lpstr>
      <vt:lpstr>N_years</vt:lpstr>
      <vt:lpstr>new_ppp</vt:lpstr>
      <vt:lpstr>new_ppp_inc</vt:lpstr>
      <vt:lpstr>Old_ppp</vt:lpstr>
      <vt:lpstr>Old_ppp_inc</vt:lpstr>
      <vt:lpstr>Forecasting!Persistence</vt:lpstr>
      <vt:lpstr>Forecasting!Price</vt:lpstr>
      <vt:lpstr>Forecasting!Sales</vt:lpstr>
      <vt:lpstr>SV_New</vt:lpstr>
      <vt:lpstr>SV_Old</vt:lpstr>
    </vt:vector>
  </TitlesOfParts>
  <Company>PSU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Daniel Soto</dc:creator>
  <cp:lastModifiedBy>Windows User</cp:lastModifiedBy>
  <cp:lastPrinted>2006-09-25T22:07:23Z</cp:lastPrinted>
  <dcterms:created xsi:type="dcterms:W3CDTF">2006-09-22T17:06:31Z</dcterms:created>
  <dcterms:modified xsi:type="dcterms:W3CDTF">2022-02-14T02:04:34Z</dcterms:modified>
</cp:coreProperties>
</file>